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Y:\P2P\CC\SGonzales\P2P Websites\OU Crimson Wesbite\UPLOADS\TRAVEL\2025\"/>
    </mc:Choice>
  </mc:AlternateContent>
  <xr:revisionPtr revIDLastSave="0" documentId="13_ncr:1_{B8530DF9-9757-440E-B922-2CF6B3A86E75}" xr6:coauthVersionLast="47" xr6:coauthVersionMax="47" xr10:uidLastSave="{00000000-0000-0000-0000-000000000000}"/>
  <bookViews>
    <workbookView xWindow="4065" yWindow="2205" windowWidth="21600" windowHeight="15045" activeTab="1" xr2:uid="{52836541-DF54-4DB9-92BF-5E9F893E7093}"/>
  </bookViews>
  <sheets>
    <sheet name="Instructions" sheetId="9" r:id="rId1"/>
    <sheet name="Travel Claim Worksheet" sheetId="8" r:id="rId2"/>
    <sheet name="Versions" sheetId="10" state="hidden" r:id="rId3"/>
    <sheet name="Data" sheetId="5" state="hidden" r:id="rId4"/>
  </sheets>
  <definedNames>
    <definedName name="HighestRate24">Data!$N$8</definedName>
    <definedName name="HighestRate25">Data!$N$14</definedName>
    <definedName name="MileageRate">Data!$W$6</definedName>
    <definedName name="MileageRateNew">Data!$X$6</definedName>
    <definedName name="newrate">Data!$M$4:$T$15</definedName>
    <definedName name="PerDiem2324">TblAllRates[Per Diem Rate]+Data!$N$4:$N$8</definedName>
    <definedName name="_xlnm.Print_Area" localSheetId="1">'Travel Claim Worksheet'!$B$1:$Y$29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8" l="1"/>
  <c r="H16" i="8"/>
  <c r="H17" i="8"/>
  <c r="H18" i="8"/>
  <c r="H19" i="8"/>
  <c r="S16" i="8"/>
  <c r="S15" i="8"/>
  <c r="S17" i="8"/>
  <c r="S18" i="8"/>
  <c r="S19" i="8"/>
  <c r="S20" i="8"/>
  <c r="S21" i="8"/>
  <c r="S22" i="8"/>
  <c r="S23" i="8"/>
  <c r="S24" i="8"/>
  <c r="S25" i="8"/>
  <c r="S26" i="8"/>
  <c r="S27" i="8"/>
  <c r="S28" i="8"/>
  <c r="S29" i="8"/>
  <c r="F16" i="8"/>
  <c r="B17" i="9"/>
  <c r="F15" i="8"/>
  <c r="F17" i="8"/>
  <c r="F18" i="8"/>
  <c r="F19" i="8"/>
  <c r="F20" i="8"/>
  <c r="F21" i="8"/>
  <c r="F22" i="8"/>
  <c r="F23" i="8"/>
  <c r="F24" i="8"/>
  <c r="F25" i="8"/>
  <c r="F26" i="8"/>
  <c r="F27" i="8"/>
  <c r="F28" i="8"/>
  <c r="F29" i="8"/>
  <c r="I4" i="8"/>
  <c r="E6" i="8"/>
  <c r="G29" i="8"/>
  <c r="L29" i="8" s="1"/>
  <c r="N13" i="8" l="1"/>
  <c r="G17" i="8" l="1"/>
  <c r="G18" i="8"/>
  <c r="G19" i="8"/>
  <c r="G20" i="8"/>
  <c r="G21" i="8"/>
  <c r="G22" i="8"/>
  <c r="E20" i="8"/>
  <c r="T20" i="8" s="1"/>
  <c r="E21" i="8"/>
  <c r="T21" i="8" s="1"/>
  <c r="E22" i="8"/>
  <c r="E23" i="8"/>
  <c r="E24" i="8"/>
  <c r="E25" i="8"/>
  <c r="E26" i="8"/>
  <c r="E27" i="8"/>
  <c r="E28" i="8"/>
  <c r="E29" i="8"/>
  <c r="E15" i="8"/>
  <c r="L21" i="8" l="1"/>
  <c r="V21" i="8"/>
  <c r="U21" i="8"/>
  <c r="W21" i="8"/>
  <c r="L20" i="8"/>
  <c r="X20" i="8" s="1"/>
  <c r="U20" i="8"/>
  <c r="W20" i="8"/>
  <c r="V20" i="8"/>
  <c r="L22" i="8"/>
  <c r="V22" i="8"/>
  <c r="U22" i="8"/>
  <c r="W22" i="8"/>
  <c r="T24" i="8"/>
  <c r="L19" i="8"/>
  <c r="L18" i="8"/>
  <c r="T29" i="8"/>
  <c r="U29" i="8"/>
  <c r="W29" i="8"/>
  <c r="V29" i="8"/>
  <c r="U15" i="8"/>
  <c r="V15" i="8"/>
  <c r="W15" i="8"/>
  <c r="T22" i="8"/>
  <c r="L17" i="8"/>
  <c r="X22" i="8"/>
  <c r="X21" i="8"/>
  <c r="X19" i="8"/>
  <c r="Z18" i="8"/>
  <c r="Z17" i="8"/>
  <c r="Z19" i="8"/>
  <c r="X18" i="8"/>
  <c r="X17" i="8"/>
  <c r="Z16" i="8"/>
  <c r="Z15" i="8"/>
  <c r="Z20" i="8"/>
  <c r="Z21" i="8"/>
  <c r="Z22" i="8"/>
  <c r="G23" i="8"/>
  <c r="T23" i="8" s="1"/>
  <c r="G24" i="8"/>
  <c r="G25" i="8"/>
  <c r="T25" i="8" s="1"/>
  <c r="G26" i="8"/>
  <c r="G27" i="8"/>
  <c r="G28" i="8"/>
  <c r="T28" i="8" s="1"/>
  <c r="U24" i="8" l="1"/>
  <c r="L24" i="8"/>
  <c r="W24" i="8"/>
  <c r="V24" i="8"/>
  <c r="L23" i="8"/>
  <c r="W23" i="8"/>
  <c r="V23" i="8"/>
  <c r="U23" i="8"/>
  <c r="L26" i="8"/>
  <c r="V26" i="8"/>
  <c r="U26" i="8"/>
  <c r="W26" i="8"/>
  <c r="L28" i="8"/>
  <c r="V28" i="8"/>
  <c r="U28" i="8"/>
  <c r="W28" i="8"/>
  <c r="T26" i="8"/>
  <c r="L25" i="8"/>
  <c r="W25" i="8"/>
  <c r="U25" i="8"/>
  <c r="V25" i="8"/>
  <c r="L27" i="8"/>
  <c r="X27" i="8" s="1"/>
  <c r="V27" i="8"/>
  <c r="W27" i="8"/>
  <c r="U27" i="8"/>
  <c r="T27" i="8"/>
  <c r="F11" i="8"/>
  <c r="O13" i="8"/>
  <c r="Z24" i="8"/>
  <c r="X24" i="8"/>
  <c r="Z23" i="8"/>
  <c r="X23" i="8"/>
  <c r="Z29" i="8"/>
  <c r="Z28" i="8"/>
  <c r="X28" i="8"/>
  <c r="Z27" i="8"/>
  <c r="Z26" i="8"/>
  <c r="X26" i="8"/>
  <c r="Z25" i="8"/>
  <c r="X25" i="8"/>
  <c r="X29" i="8"/>
  <c r="Y13" i="8"/>
  <c r="P13" i="8" l="1"/>
  <c r="AA21" i="8"/>
  <c r="AA22" i="8"/>
  <c r="AA23" i="8"/>
  <c r="AA24" i="8"/>
  <c r="Q13" i="8"/>
  <c r="M13" i="8"/>
  <c r="R13" i="8"/>
  <c r="AA27" i="8"/>
  <c r="AA28" i="8"/>
  <c r="AA29" i="8"/>
  <c r="AA25" i="8"/>
  <c r="AA26" i="8"/>
  <c r="E16" i="8"/>
  <c r="E17" i="8"/>
  <c r="E18" i="8"/>
  <c r="E19" i="8"/>
  <c r="AA20" i="8"/>
  <c r="T17" i="8" l="1"/>
  <c r="U17" i="8"/>
  <c r="W17" i="8"/>
  <c r="V17" i="8"/>
  <c r="U16" i="8"/>
  <c r="W16" i="8"/>
  <c r="V16" i="8"/>
  <c r="T18" i="8"/>
  <c r="U18" i="8"/>
  <c r="W18" i="8"/>
  <c r="V18" i="8"/>
  <c r="T19" i="8"/>
  <c r="U19" i="8"/>
  <c r="V19" i="8"/>
  <c r="W19" i="8"/>
  <c r="AA16" i="8"/>
  <c r="T16" i="8" s="1"/>
  <c r="AA19" i="8"/>
  <c r="AA18" i="8"/>
  <c r="AA17" i="8"/>
  <c r="B2" i="8"/>
  <c r="AA15" i="8" l="1"/>
  <c r="T15" i="8" s="1"/>
  <c r="L16" i="8" l="1"/>
  <c r="X16" i="8" s="1"/>
  <c r="L15" i="8" l="1"/>
  <c r="X15" i="8" s="1"/>
  <c r="L13" i="8" l="1"/>
  <c r="X13" i="8" s="1"/>
  <c r="X10" i="8" s="1"/>
</calcChain>
</file>

<file path=xl/sharedStrings.xml><?xml version="1.0" encoding="utf-8"?>
<sst xmlns="http://schemas.openxmlformats.org/spreadsheetml/2006/main" count="129" uniqueCount="103">
  <si>
    <t>Breakfast</t>
  </si>
  <si>
    <t>Lunch</t>
  </si>
  <si>
    <t>Dinner</t>
  </si>
  <si>
    <t>Incidental Expenses</t>
  </si>
  <si>
    <t># Provided Breakfasts</t>
  </si>
  <si>
    <t># Provided Dinners</t>
  </si>
  <si>
    <t># Provided Lunches</t>
  </si>
  <si>
    <t>Travel End Date:</t>
  </si>
  <si>
    <t>Travel Start Date:</t>
  </si>
  <si>
    <t>First/Last Day Per Diem</t>
  </si>
  <si>
    <t>Full Day Per Diem</t>
  </si>
  <si>
    <t>Name:</t>
  </si>
  <si>
    <t>M &amp;IE Rate</t>
  </si>
  <si>
    <t>Incidentals</t>
  </si>
  <si>
    <t>&gt;265</t>
  </si>
  <si>
    <t>Per Diem Rate</t>
  </si>
  <si>
    <t>Location</t>
  </si>
  <si>
    <t>Rate Type</t>
  </si>
  <si>
    <t>Domestic Rates (GSA)</t>
  </si>
  <si>
    <t>International</t>
  </si>
  <si>
    <t>Location (Only Enter Lodging Destinations)</t>
  </si>
  <si>
    <t>Total</t>
  </si>
  <si>
    <t>Incidental</t>
  </si>
  <si>
    <t>D/I</t>
  </si>
  <si>
    <t>Full Amt</t>
  </si>
  <si>
    <t>International Deductions</t>
  </si>
  <si>
    <t>Travel Details</t>
  </si>
  <si>
    <t>M&amp;IE Total</t>
  </si>
  <si>
    <t>Transportation</t>
  </si>
  <si>
    <t>Type</t>
  </si>
  <si>
    <t>Car Rental</t>
  </si>
  <si>
    <t>Ground/Service</t>
  </si>
  <si>
    <t>Car Mileage</t>
  </si>
  <si>
    <t>Amount</t>
  </si>
  <si>
    <t>TOTALS:</t>
  </si>
  <si>
    <t>Not Claiming Per Diem</t>
  </si>
  <si>
    <t>Personal Day?
Yes = 1</t>
  </si>
  <si>
    <t>Travel Claim Worksheet</t>
  </si>
  <si>
    <t>Ground Transport*</t>
  </si>
  <si>
    <t>Miles*</t>
  </si>
  <si>
    <t>Airfare*</t>
  </si>
  <si>
    <t>Lodging*</t>
  </si>
  <si>
    <t>Business Expense*</t>
  </si>
  <si>
    <t>Travel Purpose:</t>
  </si>
  <si>
    <t>Car Rental*</t>
  </si>
  <si>
    <t xml:space="preserve">Alaska/Hawaii (DoD) or
International Rates (State Dept) </t>
  </si>
  <si>
    <t>Advance*</t>
  </si>
  <si>
    <t>Initial to validate that all expenses on this form are true and correct and that you will not be seeking reimbursement from another source.</t>
  </si>
  <si>
    <t>Provided Meals/
Meals outside of Trip</t>
  </si>
  <si>
    <t>M&amp;IE Rates/Day
based on Rate Type</t>
  </si>
  <si>
    <t>Notes (optional)</t>
  </si>
  <si>
    <t>Enter Name and ID.</t>
  </si>
  <si>
    <t>Search the GSA site for the domestic Meals &amp; Incidental Expenses (M&amp;IE) rate. Select the rate from the drop down menu. For non domestic locations, select "international".</t>
  </si>
  <si>
    <t>For Alaska, Hawaii &amp; US Territories, select "International" and reference OCONUS for the rate to enter in column 3 of the location table.</t>
  </si>
  <si>
    <t>For each location, in the Rate Type column, determine if you are claiming first/last day, full days, or "Not Claiming Per Diem". For any first/last day, 75% of the daily rate will be the max.</t>
  </si>
  <si>
    <t>In the Travel Details section, select the "location" for each night of travel.</t>
  </si>
  <si>
    <t>Search the Dept of State site for the international M&amp;IE per diem rates. Enter the resulting value in column 3 of the Location table.</t>
  </si>
  <si>
    <t>If a personal day was taken, enter "1" in the Personal Day column.</t>
  </si>
  <si>
    <r>
      <t xml:space="preserve">Enter each meal provided by any source not in the trip itenerary (Meal values in this field will auto deduct from the total as these are disallowed and should not be claimed.) 
</t>
    </r>
    <r>
      <rPr>
        <i/>
        <sz val="11"/>
        <color rgb="FF000000"/>
        <rFont val="Calibri"/>
        <family val="2"/>
        <scheme val="minor"/>
      </rPr>
      <t xml:space="preserve">Note: Enter "1" for each provided meal.  Meal values will auto deduct from the total. </t>
    </r>
  </si>
  <si>
    <t>Enter the amount for the Airfare and Lodging.</t>
  </si>
  <si>
    <t>Enter amount of Ground Transport (Uber, Lyft, Taxi, Bus, Passenger Ship, Shuttle, Taxi, Train, etc), then enter Car Rental amount.</t>
  </si>
  <si>
    <t>Enter your business expenses (conference registration/event fee, baggage, car rental fuel, hotel internet or business fees, etc).</t>
  </si>
  <si>
    <t>Insert amounts that have already been paid by the university (cash/card) in the Advance column and review the 'Due to Traveler' amount.</t>
  </si>
  <si>
    <t>Enter your initials to validate that all expenses on this form are true and correct and that you will not be seeking reimbursement from another source.</t>
  </si>
  <si>
    <t>Print page to PDF and attach to the Claim Submission form for routing. Ensure additional back-up/supporting documentation is also provided (identified with asterisk*).</t>
  </si>
  <si>
    <t>Campus ID:</t>
  </si>
  <si>
    <t>Amount Due
to Traveler</t>
  </si>
  <si>
    <t>Instructions for completing the Travel Claim Worksheet</t>
  </si>
  <si>
    <t>For conversion rates, refer to OANDA Currency Converter.</t>
  </si>
  <si>
    <t>Version</t>
  </si>
  <si>
    <t>Original</t>
  </si>
  <si>
    <t>Merged cells X10:Y11, F11:P11</t>
  </si>
  <si>
    <t>Changes</t>
  </si>
  <si>
    <t>Date</t>
  </si>
  <si>
    <t>Set all personal days and provided meals to be number value and not formula</t>
  </si>
  <si>
    <t>Adjusted mileage rate from .655 for 2023 to .67 for 2024</t>
  </si>
  <si>
    <t>Domestic Ranges</t>
  </si>
  <si>
    <t>Enter Travel Start and End Dates. (You will receive a prompt if the total number of days at top differs from the detail. The start date determines the per diem value used.)</t>
  </si>
  <si>
    <t>Modified workbook to accommodate new per diem rates effective 10/1/24)</t>
  </si>
  <si>
    <r>
      <t xml:space="preserve">Travel Date
</t>
    </r>
    <r>
      <rPr>
        <b/>
        <sz val="9"/>
        <color rgb="FFFF0000"/>
        <rFont val="Roboto"/>
      </rPr>
      <t>required</t>
    </r>
  </si>
  <si>
    <t>Year Effective</t>
  </si>
  <si>
    <t>Column1</t>
  </si>
  <si>
    <t>202568</t>
  </si>
  <si>
    <t>202574</t>
  </si>
  <si>
    <t>202580</t>
  </si>
  <si>
    <t>202586</t>
  </si>
  <si>
    <t>202592</t>
  </si>
  <si>
    <t>GSA FY</t>
  </si>
  <si>
    <t>Rate Unique #</t>
  </si>
  <si>
    <t>2024/25</t>
  </si>
  <si>
    <t xml:space="preserve">Enter the travel date. If travel date is not entered, the M&amp;IE rate will display as $0 until it has a value. If the value does not correctly match the per diem value for that year, the rate will continue to display $0. </t>
  </si>
  <si>
    <t>Updated formula in cell F11 of the Travel Claim Worksheet to be =IF(AND(DAYS($G$5,$G$4)+1&lt;&gt;(COUNTIF(TblTrvlDetails[Travel Date
required],"&gt;0")),COUNTIF(TblTrvlDetails[Travel Date
required],"&gt;0")),CONCATENATE("Number of days between start and end date (",DAYS($G$5,$G$4),") don't match the number of dates being claimed below (",COUNTIF(TblTrvlDetails[Travel Date
required],"&gt;0"),")"),"")</t>
  </si>
  <si>
    <t>Updated URL link to https://www.gsa.gov/travel/plan-book/per-diem-rates in cell C6.</t>
  </si>
  <si>
    <t>NEW Rate</t>
  </si>
  <si>
    <t>Updated the worksheet to reflect the mileage rate change from .67 to .70. Updated formulas in cell O13 and X15:X29 on travel claim worksheet, plus related cells on the Data worksheet. See instruction document for further details.</t>
  </si>
  <si>
    <t>202668</t>
  </si>
  <si>
    <t>2025/26</t>
  </si>
  <si>
    <t>202674</t>
  </si>
  <si>
    <t>202680</t>
  </si>
  <si>
    <t>202686</t>
  </si>
  <si>
    <t>202692</t>
  </si>
  <si>
    <t>Updated workbook to adjust for new GSA release on 10/1/25</t>
  </si>
  <si>
    <t>Populate the location table with the domestic or international cities/states or country where you lodged for the night. Each location must be unique. If two rates are needed for the same location but per diem rate changed, add a rate #1 or rate #2 to the location names. Please validate rates are appropriate per year. If entering values that cross over October 1st, all per diem rates will be available for fiscal years 2024/25 rates and 2025/26 (the base rates stayed the same). Claims prior to 10/1/2024 are past allowable submission dates.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</si>
</sst>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4" formatCode="_(&quot;$&quot;* #,##0.00_);_(&quot;$&quot;* \(#,##0.00\);_(&quot;$&quot;* &quot;-&quot;??_);_(@_)"/>
    <numFmt numFmtId="43" formatCode="_(* #,##0.00_);_(* \(#,##0.00\);_(* &quot;-&quot;??_);_(@_)"/>
    <numFmt numFmtId="164" formatCode="_(&quot;$&quot;* #,##0_);_(&quot;$&quot;* \(#,##0\);_(&quot;$&quot;* &quot;-&quot;??_);_(@_)"/>
    <numFmt numFmtId="165" formatCode="&quot;$&quot;#,##0.00"/>
  </numFmts>
  <fonts count="29" x14ac:knownFonts="1">
    <font>
      <sz val="11"/>
      <color theme="1"/>
      <name val="Calibri"/>
      <family val="2"/>
      <scheme val="minor"/>
    </font>
    <font>
      <sz val="11"/>
      <color theme="1"/>
      <name val="Calibri"/>
      <family val="2"/>
      <scheme val="minor"/>
    </font>
    <font>
      <b/>
      <sz val="8"/>
      <color rgb="FF1B1B1B"/>
      <name val="Roboto"/>
    </font>
    <font>
      <sz val="8"/>
      <color rgb="FF1B1B1B"/>
      <name val="Roboto"/>
    </font>
    <font>
      <b/>
      <sz val="12"/>
      <color theme="1"/>
      <name val="Calibri"/>
      <family val="2"/>
      <scheme val="minor"/>
    </font>
    <font>
      <b/>
      <sz val="11"/>
      <color theme="1"/>
      <name val="Calibri"/>
      <family val="2"/>
      <scheme val="minor"/>
    </font>
    <font>
      <b/>
      <sz val="14"/>
      <color theme="1"/>
      <name val="Calibri"/>
      <family val="2"/>
      <scheme val="minor"/>
    </font>
    <font>
      <u/>
      <sz val="11"/>
      <color theme="10"/>
      <name val="Calibri"/>
      <family val="2"/>
      <scheme val="minor"/>
    </font>
    <font>
      <sz val="10"/>
      <color theme="1"/>
      <name val="Verdana"/>
      <family val="2"/>
    </font>
    <font>
      <b/>
      <sz val="10"/>
      <color theme="1"/>
      <name val="Verdana"/>
      <family val="2"/>
    </font>
    <font>
      <i/>
      <sz val="11"/>
      <color theme="1"/>
      <name val="Calibri"/>
      <family val="2"/>
      <scheme val="minor"/>
    </font>
    <font>
      <b/>
      <u/>
      <sz val="11"/>
      <color theme="10"/>
      <name val="Calibri"/>
      <family val="2"/>
      <scheme val="minor"/>
    </font>
    <font>
      <sz val="8"/>
      <name val="Calibri"/>
      <family val="2"/>
      <scheme val="minor"/>
    </font>
    <font>
      <b/>
      <sz val="18"/>
      <color theme="1"/>
      <name val="Calibri"/>
      <family val="2"/>
      <scheme val="minor"/>
    </font>
    <font>
      <i/>
      <sz val="9"/>
      <color rgb="FFFF0000"/>
      <name val="Calibri"/>
      <family val="2"/>
      <scheme val="minor"/>
    </font>
    <font>
      <sz val="10"/>
      <color theme="1"/>
      <name val="Roboto"/>
    </font>
    <font>
      <u/>
      <sz val="10"/>
      <color theme="8" tint="-0.249977111117893"/>
      <name val="Roboto"/>
    </font>
    <font>
      <u/>
      <sz val="11"/>
      <color theme="8" tint="-0.249977111117893"/>
      <name val="Calibri"/>
      <family val="2"/>
      <scheme val="minor"/>
    </font>
    <font>
      <sz val="6"/>
      <color theme="0" tint="-0.34998626667073579"/>
      <name val="Calibri"/>
      <family val="2"/>
      <scheme val="minor"/>
    </font>
    <font>
      <b/>
      <sz val="9"/>
      <color theme="0"/>
      <name val="Roboto"/>
    </font>
    <font>
      <b/>
      <sz val="9"/>
      <color rgb="FF1B1B1B"/>
      <name val="Roboto"/>
    </font>
    <font>
      <sz val="11"/>
      <color rgb="FF000000"/>
      <name val="Calibri"/>
      <family val="2"/>
      <scheme val="minor"/>
    </font>
    <font>
      <i/>
      <sz val="11"/>
      <color rgb="FF000000"/>
      <name val="Calibri"/>
      <family val="2"/>
      <scheme val="minor"/>
    </font>
    <font>
      <sz val="11"/>
      <name val="Calibri"/>
      <family val="2"/>
      <scheme val="minor"/>
    </font>
    <font>
      <b/>
      <sz val="12"/>
      <color theme="0"/>
      <name val="Calibri"/>
      <family val="2"/>
      <scheme val="minor"/>
    </font>
    <font>
      <i/>
      <sz val="11"/>
      <name val="Calibri"/>
      <family val="2"/>
      <scheme val="minor"/>
    </font>
    <font>
      <sz val="11"/>
      <color theme="0"/>
      <name val="Calibri"/>
      <family val="2"/>
      <scheme val="minor"/>
    </font>
    <font>
      <sz val="11"/>
      <color rgb="FFFF0000"/>
      <name val="Calibri"/>
      <family val="2"/>
      <scheme val="minor"/>
    </font>
    <font>
      <b/>
      <sz val="9"/>
      <color rgb="FFFF0000"/>
      <name val="Roboto"/>
    </font>
  </fonts>
  <fills count="9">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8E5"/>
        <bgColor indexed="64"/>
      </patternFill>
    </fill>
    <fill>
      <patternFill patternType="solid">
        <fgColor theme="1"/>
        <bgColor indexed="64"/>
      </patternFill>
    </fill>
    <fill>
      <patternFill patternType="solid">
        <fgColor theme="7" tint="0.79998168889431442"/>
        <bgColor rgb="FF000000"/>
      </patternFill>
    </fill>
    <fill>
      <patternFill patternType="solid">
        <fgColor rgb="FFE0E6EB"/>
        <bgColor rgb="FF000000"/>
      </patternFill>
    </fill>
  </fills>
  <borders count="2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1B1B1B"/>
      </left>
      <right style="thin">
        <color rgb="FF1B1B1B"/>
      </right>
      <top style="thin">
        <color rgb="FF1B1B1B"/>
      </top>
      <bottom/>
      <diagonal/>
    </border>
    <border>
      <left style="thin">
        <color rgb="FF1B1B1B"/>
      </left>
      <right/>
      <top style="thin">
        <color rgb="FF1B1B1B"/>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5">
    <xf numFmtId="0" fontId="0" fillId="0" borderId="0"/>
    <xf numFmtId="9" fontId="1" fillId="0" borderId="0" applyFont="0" applyFill="0" applyBorder="0" applyAlignment="0" applyProtection="0"/>
    <xf numFmtId="0" fontId="7" fillId="0" borderId="0" applyNumberForma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99">
    <xf numFmtId="0" fontId="0" fillId="0" borderId="0" xfId="0"/>
    <xf numFmtId="0" fontId="5" fillId="0" borderId="0" xfId="0" applyFont="1"/>
    <xf numFmtId="0" fontId="6" fillId="0" borderId="0" xfId="0" applyFont="1"/>
    <xf numFmtId="164" fontId="0" fillId="0" borderId="0" xfId="0" applyNumberFormat="1"/>
    <xf numFmtId="0" fontId="9" fillId="0" borderId="7" xfId="0" applyFont="1" applyBorder="1" applyAlignment="1">
      <alignment vertical="center" wrapText="1"/>
    </xf>
    <xf numFmtId="0" fontId="9" fillId="0" borderId="8" xfId="0" applyFont="1" applyBorder="1" applyAlignment="1">
      <alignment vertical="center" wrapText="1"/>
    </xf>
    <xf numFmtId="9" fontId="9" fillId="0" borderId="3" xfId="1" applyFont="1" applyFill="1" applyBorder="1" applyAlignment="1">
      <alignment vertical="center" wrapText="1"/>
    </xf>
    <xf numFmtId="9" fontId="9" fillId="0" borderId="5" xfId="1" applyFont="1" applyFill="1" applyBorder="1" applyAlignment="1">
      <alignment vertical="center" wrapText="1"/>
    </xf>
    <xf numFmtId="6" fontId="8" fillId="0" borderId="4" xfId="0" applyNumberFormat="1" applyFont="1" applyBorder="1" applyAlignment="1">
      <alignment vertical="top" wrapText="1"/>
    </xf>
    <xf numFmtId="0" fontId="8" fillId="0" borderId="3" xfId="0" applyFont="1" applyBorder="1" applyAlignment="1">
      <alignment vertical="top" wrapText="1"/>
    </xf>
    <xf numFmtId="0" fontId="8" fillId="0" borderId="5" xfId="0" applyFont="1" applyBorder="1" applyAlignment="1">
      <alignment vertical="top" wrapText="1"/>
    </xf>
    <xf numFmtId="6" fontId="8" fillId="0" borderId="9" xfId="0" applyNumberFormat="1" applyFont="1" applyBorder="1" applyAlignment="1">
      <alignment vertical="top" wrapText="1"/>
    </xf>
    <xf numFmtId="0" fontId="8" fillId="0" borderId="10" xfId="0" applyFont="1" applyBorder="1" applyAlignment="1">
      <alignment vertical="top" wrapText="1"/>
    </xf>
    <xf numFmtId="0" fontId="8" fillId="0" borderId="11" xfId="0" applyFont="1" applyBorder="1" applyAlignment="1">
      <alignment vertical="top" wrapText="1"/>
    </xf>
    <xf numFmtId="0" fontId="0" fillId="0" borderId="0" xfId="0" applyAlignment="1">
      <alignment wrapText="1"/>
    </xf>
    <xf numFmtId="0" fontId="11" fillId="0" borderId="0" xfId="2" applyFont="1" applyAlignment="1">
      <alignment wrapText="1"/>
    </xf>
    <xf numFmtId="6" fontId="9" fillId="0" borderId="6" xfId="0" applyNumberFormat="1" applyFont="1" applyBorder="1" applyAlignment="1">
      <alignment vertical="center" wrapText="1"/>
    </xf>
    <xf numFmtId="6" fontId="9" fillId="0" borderId="4" xfId="0" applyNumberFormat="1" applyFont="1" applyBorder="1" applyAlignment="1">
      <alignment vertical="center" wrapText="1"/>
    </xf>
    <xf numFmtId="6" fontId="0" fillId="0" borderId="0" xfId="0" applyNumberFormat="1"/>
    <xf numFmtId="6" fontId="4" fillId="0" borderId="0" xfId="0" applyNumberFormat="1" applyFont="1"/>
    <xf numFmtId="0" fontId="0" fillId="0" borderId="0" xfId="0" applyAlignment="1">
      <alignment vertical="top" wrapText="1"/>
    </xf>
    <xf numFmtId="0" fontId="0" fillId="0" borderId="0" xfId="0" quotePrefix="1"/>
    <xf numFmtId="0" fontId="0" fillId="0" borderId="0" xfId="0" applyAlignment="1">
      <alignment vertical="top"/>
    </xf>
    <xf numFmtId="0" fontId="0" fillId="0" borderId="2" xfId="0" applyBorder="1"/>
    <xf numFmtId="0" fontId="13" fillId="0" borderId="0" xfId="0" applyFont="1" applyAlignment="1">
      <alignment vertical="center"/>
    </xf>
    <xf numFmtId="0" fontId="3" fillId="5" borderId="18" xfId="0" applyFont="1" applyFill="1" applyBorder="1" applyAlignment="1" applyProtection="1">
      <alignment vertical="center" wrapText="1"/>
      <protection locked="0"/>
    </xf>
    <xf numFmtId="0" fontId="3" fillId="5" borderId="1" xfId="0" applyFont="1" applyFill="1" applyBorder="1" applyAlignment="1" applyProtection="1">
      <alignment vertical="center" wrapText="1"/>
      <protection locked="0"/>
    </xf>
    <xf numFmtId="8" fontId="3" fillId="3" borderId="1" xfId="0" applyNumberFormat="1" applyFont="1" applyFill="1" applyBorder="1" applyAlignment="1">
      <alignment vertical="center" wrapText="1"/>
    </xf>
    <xf numFmtId="14" fontId="3" fillId="5" borderId="1" xfId="0" applyNumberFormat="1" applyFont="1" applyFill="1" applyBorder="1" applyAlignment="1" applyProtection="1">
      <alignment vertical="center" wrapText="1"/>
      <protection locked="0"/>
    </xf>
    <xf numFmtId="1" fontId="3" fillId="5" borderId="1" xfId="0" applyNumberFormat="1" applyFont="1" applyFill="1" applyBorder="1" applyAlignment="1" applyProtection="1">
      <alignment vertical="center" wrapText="1"/>
      <protection locked="0"/>
    </xf>
    <xf numFmtId="165" fontId="3" fillId="5" borderId="1" xfId="0" applyNumberFormat="1" applyFont="1" applyFill="1" applyBorder="1" applyAlignment="1" applyProtection="1">
      <alignment vertical="center" wrapText="1"/>
      <protection locked="0"/>
    </xf>
    <xf numFmtId="8" fontId="3" fillId="3" borderId="19" xfId="0" applyNumberFormat="1" applyFont="1" applyFill="1" applyBorder="1" applyAlignment="1">
      <alignment vertical="center" wrapText="1"/>
    </xf>
    <xf numFmtId="0" fontId="15" fillId="0" borderId="1" xfId="0" applyFont="1" applyBorder="1" applyAlignment="1">
      <alignment vertical="top" wrapText="1"/>
    </xf>
    <xf numFmtId="0" fontId="15" fillId="5" borderId="13" xfId="0" applyFont="1" applyFill="1" applyBorder="1" applyProtection="1">
      <protection locked="0"/>
    </xf>
    <xf numFmtId="0" fontId="15" fillId="5" borderId="1" xfId="0" applyFont="1" applyFill="1" applyBorder="1" applyProtection="1">
      <protection locked="0"/>
    </xf>
    <xf numFmtId="0" fontId="15" fillId="5" borderId="12" xfId="0" applyFont="1" applyFill="1" applyBorder="1" applyProtection="1">
      <protection locked="0"/>
    </xf>
    <xf numFmtId="0" fontId="4" fillId="2" borderId="19" xfId="0" applyFont="1" applyFill="1" applyBorder="1"/>
    <xf numFmtId="0" fontId="4" fillId="2" borderId="20" xfId="0" applyFont="1" applyFill="1" applyBorder="1"/>
    <xf numFmtId="0" fontId="16" fillId="0" borderId="1" xfId="2" applyFont="1" applyBorder="1" applyAlignment="1">
      <alignment vertical="top" wrapText="1"/>
    </xf>
    <xf numFmtId="0" fontId="17" fillId="0" borderId="0" xfId="2" quotePrefix="1" applyFont="1"/>
    <xf numFmtId="0" fontId="5" fillId="0" borderId="0" xfId="0" applyFont="1" applyAlignment="1">
      <alignment horizontal="left" wrapText="1"/>
    </xf>
    <xf numFmtId="0" fontId="17" fillId="0" borderId="0" xfId="2" applyFont="1" applyAlignment="1">
      <alignment horizontal="left"/>
    </xf>
    <xf numFmtId="14" fontId="18" fillId="0" borderId="0" xfId="0" applyNumberFormat="1" applyFont="1" applyAlignment="1">
      <alignment horizontal="left"/>
    </xf>
    <xf numFmtId="0" fontId="14" fillId="0" borderId="0" xfId="0" applyFont="1" applyAlignment="1">
      <alignment horizontal="left" vertical="top" wrapText="1"/>
    </xf>
    <xf numFmtId="8" fontId="19" fillId="6" borderId="14" xfId="0" applyNumberFormat="1" applyFont="1" applyFill="1" applyBorder="1" applyAlignment="1">
      <alignment horizontal="right" vertical="center" wrapText="1"/>
    </xf>
    <xf numFmtId="8" fontId="19" fillId="6" borderId="15" xfId="0" applyNumberFormat="1" applyFont="1" applyFill="1" applyBorder="1" applyAlignment="1">
      <alignment horizontal="right" vertical="center" wrapText="1"/>
    </xf>
    <xf numFmtId="0" fontId="2" fillId="4" borderId="19" xfId="0" applyFont="1" applyFill="1" applyBorder="1" applyAlignment="1">
      <alignment vertical="center" wrapText="1"/>
    </xf>
    <xf numFmtId="0" fontId="20" fillId="4" borderId="16" xfId="0" applyFont="1" applyFill="1" applyBorder="1" applyAlignment="1">
      <alignment vertical="center" wrapText="1"/>
    </xf>
    <xf numFmtId="0" fontId="20" fillId="4" borderId="13" xfId="0" applyFont="1" applyFill="1" applyBorder="1" applyAlignment="1">
      <alignment vertical="center" wrapText="1"/>
    </xf>
    <xf numFmtId="0" fontId="20" fillId="4" borderId="13" xfId="0" applyFont="1" applyFill="1" applyBorder="1" applyAlignment="1">
      <alignment horizontal="center" vertical="center" wrapText="1"/>
    </xf>
    <xf numFmtId="0" fontId="20" fillId="4" borderId="17" xfId="0" applyFont="1" applyFill="1" applyBorder="1" applyAlignment="1">
      <alignment horizontal="center" vertical="center" wrapText="1"/>
    </xf>
    <xf numFmtId="0" fontId="7" fillId="0" borderId="0" xfId="2"/>
    <xf numFmtId="0" fontId="21" fillId="0" borderId="0" xfId="0" applyFont="1" applyAlignment="1">
      <alignment wrapText="1"/>
    </xf>
    <xf numFmtId="0" fontId="7" fillId="0" borderId="0" xfId="2" applyAlignment="1">
      <alignment wrapText="1"/>
    </xf>
    <xf numFmtId="0" fontId="21" fillId="0" borderId="0" xfId="0" applyFont="1" applyAlignment="1">
      <alignment vertical="top" wrapText="1"/>
    </xf>
    <xf numFmtId="0" fontId="7" fillId="0" borderId="0" xfId="2" applyAlignment="1">
      <alignment vertical="top" wrapText="1"/>
    </xf>
    <xf numFmtId="0" fontId="7" fillId="0" borderId="0" xfId="2" applyFill="1" applyBorder="1" applyAlignment="1">
      <alignment vertical="top" wrapText="1"/>
    </xf>
    <xf numFmtId="0" fontId="0" fillId="0" borderId="0" xfId="0" applyAlignment="1">
      <alignment horizontal="right"/>
    </xf>
    <xf numFmtId="0" fontId="4" fillId="0" borderId="0" xfId="0" applyFont="1" applyAlignment="1">
      <alignment vertical="center"/>
    </xf>
    <xf numFmtId="0" fontId="14" fillId="0" borderId="0" xfId="0" applyFont="1" applyAlignment="1">
      <alignment vertical="top" wrapText="1"/>
    </xf>
    <xf numFmtId="0" fontId="23" fillId="0" borderId="0" xfId="0" applyFont="1" applyAlignment="1">
      <alignment vertical="top"/>
    </xf>
    <xf numFmtId="8" fontId="3" fillId="3" borderId="1" xfId="0" applyNumberFormat="1" applyFont="1" applyFill="1" applyBorder="1" applyAlignment="1" applyProtection="1">
      <alignment vertical="center" wrapText="1"/>
      <protection locked="0"/>
    </xf>
    <xf numFmtId="0" fontId="25" fillId="0" borderId="21" xfId="0" applyFont="1" applyBorder="1"/>
    <xf numFmtId="0" fontId="10" fillId="0" borderId="0" xfId="0" applyFont="1" applyAlignment="1">
      <alignment vertical="center" wrapText="1"/>
    </xf>
    <xf numFmtId="0" fontId="0" fillId="0" borderId="17" xfId="0" applyBorder="1"/>
    <xf numFmtId="0" fontId="5" fillId="0" borderId="16" xfId="0" applyFont="1" applyBorder="1"/>
    <xf numFmtId="0" fontId="5" fillId="0" borderId="13" xfId="0" applyFont="1" applyBorder="1"/>
    <xf numFmtId="14" fontId="0" fillId="0" borderId="0" xfId="0" applyNumberFormat="1"/>
    <xf numFmtId="0" fontId="26" fillId="0" borderId="0" xfId="0" applyFont="1"/>
    <xf numFmtId="0" fontId="27" fillId="0" borderId="0" xfId="0" applyFont="1"/>
    <xf numFmtId="164" fontId="3" fillId="0" borderId="0" xfId="0" applyNumberFormat="1" applyFont="1" applyAlignment="1">
      <alignment vertical="center" wrapText="1"/>
    </xf>
    <xf numFmtId="0" fontId="3" fillId="8" borderId="13" xfId="4" applyNumberFormat="1" applyFont="1" applyFill="1" applyBorder="1" applyAlignment="1" applyProtection="1">
      <alignment vertical="center" wrapText="1"/>
      <protection locked="0"/>
    </xf>
    <xf numFmtId="0" fontId="3" fillId="8" borderId="0" xfId="0" applyFont="1" applyFill="1" applyAlignment="1">
      <alignment vertical="center" wrapText="1"/>
    </xf>
    <xf numFmtId="14" fontId="5" fillId="0" borderId="0" xfId="0" applyNumberFormat="1" applyFont="1"/>
    <xf numFmtId="0" fontId="20" fillId="4" borderId="1" xfId="0" applyFont="1" applyFill="1" applyBorder="1" applyAlignment="1">
      <alignment horizontal="center" vertical="center" wrapText="1"/>
    </xf>
    <xf numFmtId="165" fontId="3" fillId="7" borderId="1" xfId="0" applyNumberFormat="1" applyFont="1" applyFill="1" applyBorder="1" applyAlignment="1" applyProtection="1">
      <alignment vertical="center" wrapText="1"/>
      <protection locked="0"/>
    </xf>
    <xf numFmtId="0" fontId="7" fillId="0" borderId="1" xfId="2" applyBorder="1" applyAlignment="1">
      <alignment vertical="top" wrapText="1"/>
    </xf>
    <xf numFmtId="0" fontId="0" fillId="0" borderId="18" xfId="0" applyBorder="1" applyAlignment="1">
      <alignment vertical="top"/>
    </xf>
    <xf numFmtId="14" fontId="0" fillId="0" borderId="19" xfId="0" applyNumberFormat="1" applyBorder="1" applyAlignment="1">
      <alignment vertical="top"/>
    </xf>
    <xf numFmtId="0" fontId="0" fillId="0" borderId="1" xfId="0" applyBorder="1" applyAlignment="1">
      <alignment vertical="top" wrapText="1"/>
    </xf>
    <xf numFmtId="0" fontId="0" fillId="0" borderId="19" xfId="0" applyBorder="1" applyAlignment="1">
      <alignment vertical="top"/>
    </xf>
    <xf numFmtId="0" fontId="0" fillId="0" borderId="23" xfId="0" applyBorder="1" applyAlignment="1">
      <alignment vertical="top"/>
    </xf>
    <xf numFmtId="0" fontId="0" fillId="0" borderId="22" xfId="0" applyBorder="1" applyAlignment="1">
      <alignment vertical="top"/>
    </xf>
    <xf numFmtId="0" fontId="0" fillId="0" borderId="12" xfId="0" applyBorder="1" applyAlignment="1">
      <alignment vertical="top" wrapText="1"/>
    </xf>
    <xf numFmtId="44" fontId="0" fillId="0" borderId="0" xfId="3" applyFont="1"/>
    <xf numFmtId="164" fontId="0" fillId="0" borderId="0" xfId="0" quotePrefix="1" applyNumberFormat="1"/>
    <xf numFmtId="0" fontId="2" fillId="4" borderId="19" xfId="0" applyFont="1" applyFill="1" applyBorder="1" applyAlignment="1">
      <alignment horizontal="center" vertical="center" wrapText="1"/>
    </xf>
    <xf numFmtId="0" fontId="2" fillId="4" borderId="20"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15" fillId="5" borderId="19" xfId="0" applyFont="1" applyFill="1" applyBorder="1" applyAlignment="1" applyProtection="1">
      <alignment horizontal="left" vertical="top"/>
      <protection locked="0"/>
    </xf>
    <xf numFmtId="0" fontId="15" fillId="5" borderId="18" xfId="0" applyFont="1" applyFill="1" applyBorder="1" applyAlignment="1" applyProtection="1">
      <alignment horizontal="left" vertical="top"/>
      <protection locked="0"/>
    </xf>
    <xf numFmtId="0" fontId="15" fillId="5" borderId="1" xfId="0" applyFont="1" applyFill="1" applyBorder="1" applyAlignment="1" applyProtection="1">
      <alignment horizontal="center"/>
      <protection locked="0"/>
    </xf>
    <xf numFmtId="14" fontId="15" fillId="5" borderId="1" xfId="0" applyNumberFormat="1" applyFont="1" applyFill="1" applyBorder="1" applyAlignment="1" applyProtection="1">
      <alignment horizontal="center"/>
      <protection locked="0"/>
    </xf>
    <xf numFmtId="0" fontId="10" fillId="0" borderId="0" xfId="0" applyFont="1" applyAlignment="1">
      <alignment horizontal="left" vertical="center" wrapText="1"/>
    </xf>
    <xf numFmtId="0" fontId="5" fillId="0" borderId="0" xfId="0" applyFont="1" applyAlignment="1">
      <alignment horizontal="right" vertical="center" wrapText="1"/>
    </xf>
    <xf numFmtId="0" fontId="5" fillId="0" borderId="21" xfId="0" applyFont="1" applyBorder="1" applyAlignment="1">
      <alignment horizontal="right" vertical="center" wrapText="1"/>
    </xf>
    <xf numFmtId="8" fontId="24" fillId="6" borderId="0" xfId="0" applyNumberFormat="1" applyFont="1" applyFill="1" applyAlignment="1">
      <alignment horizontal="right" vertical="center" wrapText="1"/>
    </xf>
    <xf numFmtId="8" fontId="24" fillId="6" borderId="21" xfId="0" applyNumberFormat="1" applyFont="1" applyFill="1" applyBorder="1" applyAlignment="1">
      <alignment horizontal="right" vertical="center" wrapText="1"/>
    </xf>
    <xf numFmtId="0" fontId="25" fillId="0" borderId="21" xfId="0" applyFont="1" applyBorder="1" applyAlignment="1">
      <alignment horizontal="left"/>
    </xf>
  </cellXfs>
  <cellStyles count="5">
    <cellStyle name="Comma" xfId="4" builtinId="3"/>
    <cellStyle name="Currency" xfId="3" builtinId="4"/>
    <cellStyle name="Hyperlink" xfId="2" builtinId="8"/>
    <cellStyle name="Normal" xfId="0" builtinId="0"/>
    <cellStyle name="Percent" xfId="1" builtinId="5"/>
  </cellStyles>
  <dxfs count="77">
    <dxf>
      <font>
        <b val="0"/>
        <i val="0"/>
        <color rgb="FFFF0000"/>
      </font>
    </dxf>
    <dxf>
      <font>
        <color rgb="FFFF0000"/>
      </font>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rgb="FF000000"/>
        </left>
        <right/>
        <top style="thin">
          <color rgb="FF000000"/>
        </top>
        <bottom style="thin">
          <color rgb="FF000000"/>
        </bottom>
      </border>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Verdana"/>
        <family val="2"/>
        <scheme val="none"/>
      </font>
      <numFmt numFmtId="10" formatCode="&quot;$&quot;#,##0_);[Red]\(&quot;$&quot;#,##0\)"/>
      <fill>
        <patternFill patternType="none">
          <fgColor indexed="64"/>
          <bgColor auto="1"/>
        </patternFill>
      </fill>
      <alignment horizontal="general" vertical="top" textRotation="0" wrapText="1" indent="0" justifyLastLine="0" shrinkToFit="0" readingOrder="0"/>
      <border diagonalUp="0" diagonalDown="0">
        <left/>
        <right style="thin">
          <color rgb="FF000000"/>
        </right>
        <top style="thin">
          <color rgb="FF000000"/>
        </top>
        <bottom style="thin">
          <color rgb="FF000000"/>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rgb="FF000000"/>
        <name val="Verdana"/>
        <family val="2"/>
        <scheme val="none"/>
      </font>
      <fill>
        <patternFill patternType="none">
          <fgColor rgb="FF000000"/>
          <bgColor auto="1"/>
        </patternFill>
      </fill>
      <alignment horizontal="general" vertical="top" textRotation="0" wrapText="1" indent="0" justifyLastLine="0" shrinkToFit="0" readingOrder="0"/>
    </dxf>
    <dxf>
      <border outline="0">
        <bottom style="thin">
          <color rgb="FF000000"/>
        </bottom>
      </border>
    </dxf>
    <dxf>
      <font>
        <b/>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rgb="FF000000"/>
        </left>
        <right/>
        <top style="thin">
          <color rgb="FF000000"/>
        </top>
        <bottom style="thin">
          <color rgb="FF000000"/>
        </bottom>
      </border>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Verdana"/>
        <family val="2"/>
        <scheme val="none"/>
      </font>
      <numFmt numFmtId="10" formatCode="&quot;$&quot;#,##0_);[Red]\(&quot;$&quot;#,##0\)"/>
      <fill>
        <patternFill patternType="none">
          <fgColor indexed="64"/>
          <bgColor auto="1"/>
        </patternFill>
      </fill>
      <alignment horizontal="general" vertical="top" textRotation="0" wrapText="1" indent="0" justifyLastLine="0" shrinkToFit="0" readingOrder="0"/>
      <border diagonalUp="0" diagonalDown="0">
        <left/>
        <right style="thin">
          <color rgb="FF000000"/>
        </right>
        <top style="thin">
          <color rgb="FF000000"/>
        </top>
        <bottom style="thin">
          <color rgb="FF000000"/>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top" textRotation="0" wrapText="1" indent="0" justifyLastLine="0" shrinkToFit="0" readingOrder="0"/>
    </dxf>
    <dxf>
      <border outline="0">
        <bottom style="thin">
          <color rgb="FF000000"/>
        </bottom>
      </border>
    </dxf>
    <dxf>
      <font>
        <b/>
        <i val="0"/>
        <strike val="0"/>
        <condense val="0"/>
        <extend val="0"/>
        <outline val="0"/>
        <shadow val="0"/>
        <u val="none"/>
        <vertAlign val="baseline"/>
        <sz val="10"/>
        <color theme="1"/>
        <name val="Verdana"/>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rgb="FF000000"/>
        </left>
        <right style="thin">
          <color rgb="FF000000"/>
        </right>
        <top/>
        <bottom/>
      </border>
    </dxf>
    <dxf>
      <numFmt numFmtId="0" formatCode="General"/>
      <fill>
        <patternFill patternType="none">
          <fgColor indexed="64"/>
          <bgColor auto="1"/>
        </patternFill>
      </fill>
    </dxf>
    <dxf>
      <numFmt numFmtId="164" formatCode="_(&quot;$&quot;* #,##0_);_(&quot;$&quot;* \(#,##0\);_(&quot;$&quot;* &quot;-&quot;??_);_(@_)"/>
      <fill>
        <patternFill patternType="none">
          <fgColor indexed="64"/>
          <bgColor auto="1"/>
        </patternFill>
      </fill>
    </dxf>
    <dxf>
      <numFmt numFmtId="164" formatCode="_(&quot;$&quot;* #,##0_);_(&quot;$&quot;* \(#,##0\);_(&quot;$&quot;* &quot;-&quot;??_);_(@_)"/>
      <fill>
        <patternFill patternType="none">
          <fgColor indexed="64"/>
          <bgColor auto="1"/>
        </patternFill>
      </fill>
    </dxf>
    <dxf>
      <numFmt numFmtId="164" formatCode="_(&quot;$&quot;* #,##0_);_(&quot;$&quot;* \(#,##0\);_(&quot;$&quot;* &quot;-&quot;??_);_(@_)"/>
      <fill>
        <patternFill patternType="none">
          <fgColor indexed="64"/>
          <bgColor auto="1"/>
        </patternFill>
      </fill>
    </dxf>
    <dxf>
      <numFmt numFmtId="164" formatCode="_(&quot;$&quot;* #,##0_);_(&quot;$&quot;* \(#,##0\);_(&quot;$&quot;* &quot;-&quot;??_);_(@_)"/>
      <fill>
        <patternFill patternType="none">
          <fgColor indexed="64"/>
          <bgColor auto="1"/>
        </patternFill>
      </fill>
    </dxf>
    <dxf>
      <numFmt numFmtId="164" formatCode="_(&quot;$&quot;* #,##0_);_(&quot;$&quot;* \(#,##0\);_(&quot;$&quot;* &quot;-&quot;??_);_(@_)"/>
      <fill>
        <patternFill patternType="none">
          <fgColor indexed="64"/>
          <bgColor auto="1"/>
        </patternFill>
      </fill>
    </dxf>
    <dxf>
      <numFmt numFmtId="164" formatCode="_(&quot;$&quot;* #,##0_);_(&quot;$&quot;* \(#,##0\);_(&quot;$&quot;* &quot;-&quot;??_);_(@_)"/>
      <fill>
        <patternFill patternType="none">
          <fgColor indexed="64"/>
          <bgColor auto="1"/>
        </patternFill>
      </fill>
    </dxf>
    <dxf>
      <numFmt numFmtId="164" formatCode="_(&quot;$&quot;* #,##0_);_(&quot;$&quot;* \(#,##0\);_(&quot;$&quot;* &quot;-&quot;??_);_(@_)"/>
      <fill>
        <patternFill patternType="none">
          <fgColor indexed="64"/>
          <bgColor auto="1"/>
        </patternFill>
      </fill>
    </dxf>
    <dxf>
      <fill>
        <patternFill patternType="none">
          <fgColor indexed="64"/>
          <bgColor auto="1"/>
        </patternFill>
      </fill>
    </dxf>
    <dxf>
      <numFmt numFmtId="164" formatCode="_(&quot;$&quot;* #,##0_);_(&quot;$&quot;* \(#,##0\);_(&quot;$&quot;* &quot;-&quot;??_);_(@_)"/>
    </dxf>
    <dxf>
      <alignment horizontal="general" vertical="top" textRotation="0" indent="0" justifyLastLine="0" shrinkToFit="0" readingOrder="0"/>
      <border diagonalUp="0" diagonalDown="0" outline="0">
        <left style="thin">
          <color indexed="64"/>
        </left>
        <right/>
        <top style="thin">
          <color indexed="64"/>
        </top>
        <bottom style="thin">
          <color indexed="64"/>
        </bottom>
      </border>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top" textRotation="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general" vertical="top" textRotation="0" indent="0" justifyLastLine="0" shrinkToFit="0" readingOrder="0"/>
    </dxf>
    <dxf>
      <border outline="0">
        <bottom style="thin">
          <color indexed="64"/>
        </bottom>
      </border>
    </dxf>
    <dxf>
      <font>
        <strike val="0"/>
        <outline val="0"/>
        <shadow val="0"/>
        <u val="none"/>
        <vertAlign val="baseline"/>
        <sz val="10"/>
        <color theme="1"/>
        <name val="Roboto"/>
        <scheme val="none"/>
      </font>
      <fill>
        <patternFill patternType="solid">
          <fgColor indexed="64"/>
          <bgColor rgb="FFFFF8E5"/>
        </patternFill>
      </fill>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0"/>
        <color theme="1"/>
        <name val="Roboto"/>
        <scheme val="none"/>
      </font>
      <fill>
        <patternFill patternType="solid">
          <fgColor indexed="64"/>
          <bgColor rgb="FFFFF8E5"/>
        </patternFill>
      </fill>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0"/>
        <color theme="1"/>
        <name val="Roboto"/>
        <scheme val="none"/>
      </font>
      <fill>
        <patternFill patternType="solid">
          <fgColor indexed="64"/>
          <bgColor rgb="FFFFF8E5"/>
        </patternFill>
      </fill>
      <border diagonalUp="0" diagonalDown="0" outline="0">
        <left style="thin">
          <color indexed="64"/>
        </left>
        <right style="thin">
          <color indexed="64"/>
        </right>
        <top style="thin">
          <color indexed="64"/>
        </top>
        <bottom style="thin">
          <color indexed="64"/>
        </bottom>
      </border>
      <protection locked="0" hidden="0"/>
    </dxf>
    <dxf>
      <border outline="0">
        <bottom style="thin">
          <color indexed="64"/>
        </bottom>
      </border>
    </dxf>
    <dxf>
      <font>
        <strike val="0"/>
        <outline val="0"/>
        <shadow val="0"/>
        <u val="none"/>
        <vertAlign val="baseline"/>
        <sz val="10"/>
        <color theme="1"/>
        <name val="Roboto"/>
        <scheme val="none"/>
      </font>
      <fill>
        <patternFill patternType="solid">
          <fgColor indexed="64"/>
          <bgColor rgb="FFFFF8E5"/>
        </patternFill>
      </fill>
      <protection locked="0" hidden="0"/>
    </dxf>
    <dxf>
      <border>
        <bottom style="thin">
          <color indexed="64"/>
        </bottom>
      </border>
    </dxf>
    <dxf>
      <font>
        <b val="0"/>
        <i val="0"/>
        <strike val="0"/>
        <condense val="0"/>
        <extend val="0"/>
        <outline val="0"/>
        <shadow val="0"/>
        <u val="none"/>
        <vertAlign val="baseline"/>
        <sz val="10"/>
        <color theme="1"/>
        <name val="Roboto"/>
        <scheme val="none"/>
      </font>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rgb="FF1B1B1B"/>
        <name val="Roboto"/>
        <scheme val="none"/>
      </font>
      <numFmt numFmtId="0" formatCode="General"/>
      <fill>
        <patternFill patternType="solid">
          <fgColor rgb="FF000000"/>
          <bgColor rgb="FFE0E6EB"/>
        </patternFill>
      </fill>
      <alignment horizontal="general" vertical="center" textRotation="0" wrapText="1" indent="0" justifyLastLine="0" shrinkToFit="0" readingOrder="0"/>
    </dxf>
    <dxf>
      <font>
        <b val="0"/>
        <i val="0"/>
        <strike val="0"/>
        <condense val="0"/>
        <extend val="0"/>
        <outline val="0"/>
        <shadow val="0"/>
        <u val="none"/>
        <vertAlign val="baseline"/>
        <sz val="8"/>
        <color rgb="FF1B1B1B"/>
        <name val="Roboto"/>
        <scheme val="none"/>
      </font>
      <numFmt numFmtId="0" formatCode="General"/>
      <fill>
        <patternFill patternType="solid">
          <fgColor rgb="FF000000"/>
          <bgColor rgb="FFE0E6EB"/>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rgb="FF1B1B1B"/>
        <name val="Roboto"/>
        <scheme val="none"/>
      </font>
      <numFmt numFmtId="165" formatCode="&quot;$&quot;#,##0.00"/>
      <fill>
        <patternFill patternType="solid">
          <fgColor rgb="FF000000"/>
          <bgColor theme="7" tint="0.79998168889431442"/>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rgb="FF1B1B1B"/>
        <name val="Roboto"/>
        <scheme val="none"/>
      </font>
      <numFmt numFmtId="12" formatCode="&quot;$&quot;#,##0.00_);[Red]\(&quot;$&quot;#,##0.00\)"/>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1B1B1B"/>
        <name val="Roboto"/>
        <scheme val="none"/>
      </font>
      <numFmt numFmtId="12" formatCode="&quot;$&quot;#,##0.00_);[Red]\(&quot;$&quot;#,##0.00\)"/>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rgb="FF1B1B1B"/>
        <name val="Roboto"/>
        <scheme val="none"/>
      </font>
      <numFmt numFmtId="12" formatCode="&quot;$&quot;#,##0.00_);[Red]\(&quot;$&quot;#,##0.00\)"/>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rgb="FF1B1B1B"/>
        <name val="Roboto"/>
        <scheme val="none"/>
      </font>
      <numFmt numFmtId="12" formatCode="&quot;$&quot;#,##0.00_);[Red]\(&quot;$&quot;#,##0.00\)"/>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rgb="FF1B1B1B"/>
        <name val="Roboto"/>
        <scheme val="none"/>
      </font>
      <numFmt numFmtId="12" formatCode="&quot;$&quot;#,##0.00_);[Red]\(&quot;$&quot;#,##0.00\)"/>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rgb="FF1B1B1B"/>
        <name val="Roboto"/>
        <scheme val="none"/>
      </font>
      <numFmt numFmtId="1" formatCode="0"/>
      <fill>
        <patternFill patternType="solid">
          <fgColor indexed="64"/>
          <bgColor rgb="FFFFF8E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rgb="FF1B1B1B"/>
        <name val="Roboto"/>
        <scheme val="none"/>
      </font>
      <numFmt numFmtId="165" formatCode="&quot;$&quot;#,##0.00"/>
      <fill>
        <patternFill patternType="solid">
          <fgColor indexed="64"/>
          <bgColor rgb="FFFFF8E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rgb="FF1B1B1B"/>
        <name val="Roboto"/>
        <scheme val="none"/>
      </font>
      <numFmt numFmtId="165" formatCode="&quot;$&quot;#,##0.00"/>
      <fill>
        <patternFill patternType="solid">
          <fgColor indexed="64"/>
          <bgColor rgb="FFFFF8E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rgb="FF1B1B1B"/>
        <name val="Roboto"/>
        <scheme val="none"/>
      </font>
      <numFmt numFmtId="165" formatCode="&quot;$&quot;#,##0.00"/>
      <fill>
        <patternFill patternType="solid">
          <fgColor indexed="64"/>
          <bgColor rgb="FFFFF8E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rgb="FF1B1B1B"/>
        <name val="Roboto"/>
        <scheme val="none"/>
      </font>
      <numFmt numFmtId="0" formatCode="General"/>
      <fill>
        <patternFill patternType="solid">
          <fgColor indexed="64"/>
          <bgColor rgb="FFFFF8E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rgb="FF1B1B1B"/>
        <name val="Roboto"/>
        <scheme val="none"/>
      </font>
      <numFmt numFmtId="165" formatCode="&quot;$&quot;#,##0.00"/>
      <fill>
        <patternFill patternType="solid">
          <fgColor indexed="64"/>
          <bgColor rgb="FFFFF8E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rgb="FF1B1B1B"/>
        <name val="Roboto"/>
        <scheme val="none"/>
      </font>
      <numFmt numFmtId="165" formatCode="&quot;$&quot;#,##0.00"/>
      <fill>
        <patternFill patternType="solid">
          <fgColor indexed="64"/>
          <bgColor rgb="FFFFF8E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rgb="FF1B1B1B"/>
        <name val="Roboto"/>
        <scheme val="none"/>
      </font>
      <numFmt numFmtId="12" formatCode="&quot;$&quot;#,##0.00_);[Red]\(&quot;$&quot;#,##0.00\)"/>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1B1B1B"/>
        <name val="Roboto"/>
        <scheme val="none"/>
      </font>
      <numFmt numFmtId="1" formatCode="0"/>
      <fill>
        <patternFill patternType="solid">
          <fgColor indexed="64"/>
          <bgColor rgb="FFFFF8E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rgb="FF1B1B1B"/>
        <name val="Roboto"/>
        <scheme val="none"/>
      </font>
      <numFmt numFmtId="1" formatCode="0"/>
      <fill>
        <patternFill patternType="solid">
          <fgColor indexed="64"/>
          <bgColor rgb="FFFFF8E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rgb="FF1B1B1B"/>
        <name val="Roboto"/>
        <scheme val="none"/>
      </font>
      <numFmt numFmtId="1" formatCode="0"/>
      <fill>
        <patternFill patternType="solid">
          <fgColor indexed="64"/>
          <bgColor rgb="FFFFF8E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rgb="FF1B1B1B"/>
        <name val="Roboto"/>
        <scheme val="none"/>
      </font>
      <numFmt numFmtId="1" formatCode="0"/>
      <fill>
        <patternFill patternType="solid">
          <fgColor indexed="64"/>
          <bgColor rgb="FFFFF8E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rgb="FF1B1B1B"/>
        <name val="Roboto"/>
        <scheme val="none"/>
      </font>
      <numFmt numFmtId="19" formatCode="m/d/yyyy"/>
      <fill>
        <patternFill patternType="solid">
          <fgColor indexed="64"/>
          <bgColor rgb="FFFFF8E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rgb="FF1B1B1B"/>
        <name val="Roboto"/>
        <scheme val="none"/>
      </font>
      <numFmt numFmtId="12" formatCode="&quot;$&quot;#,##0.00_);[Red]\(&quot;$&quot;#,##0.00\)"/>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1B1B1B"/>
        <name val="Roboto"/>
        <scheme val="none"/>
      </font>
      <numFmt numFmtId="12" formatCode="&quot;$&quot;#,##0.00_);[Red]\(&quot;$&quot;#,##0.00\)"/>
      <fill>
        <patternFill patternType="solid">
          <fgColor indexed="64"/>
          <bgColor theme="0" tint="-0.1499984740745262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1B1B1B"/>
        <name val="Roboto"/>
        <scheme val="none"/>
      </font>
      <numFmt numFmtId="12" formatCode="&quot;$&quot;#,##0.00_);[Red]\(&quot;$&quot;#,##0.00\)"/>
      <fill>
        <patternFill patternType="solid">
          <fgColor indexed="64"/>
          <bgColor rgb="FFFFF8E5"/>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8"/>
        <color rgb="FF1B1B1B"/>
        <name val="Roboto"/>
        <scheme val="none"/>
      </font>
      <numFmt numFmtId="0" formatCode="General"/>
      <fill>
        <patternFill patternType="solid">
          <fgColor indexed="64"/>
          <bgColor rgb="FFFFF8E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rgb="FF1B1B1B"/>
        <name val="Roboto"/>
        <scheme val="none"/>
      </font>
      <numFmt numFmtId="0" formatCode="General"/>
      <fill>
        <patternFill patternType="solid">
          <fgColor indexed="64"/>
          <bgColor rgb="FFFFF8E5"/>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1B1B1B"/>
        <name val="Roboto"/>
        <scheme val="none"/>
      </font>
      <fill>
        <patternFill patternType="solid">
          <fgColor rgb="FF000000"/>
          <bgColor rgb="FFE0E6EB"/>
        </patternFill>
      </fill>
      <alignment horizontal="general" vertical="center" textRotation="0" wrapText="1" indent="0" justifyLastLine="0" shrinkToFit="0" readingOrder="0"/>
    </dxf>
    <dxf>
      <border>
        <bottom style="thin">
          <color indexed="64"/>
        </bottom>
      </border>
    </dxf>
    <dxf>
      <font>
        <b/>
        <i val="0"/>
        <strike val="0"/>
        <condense val="0"/>
        <extend val="0"/>
        <outline val="0"/>
        <shadow val="0"/>
        <u val="none"/>
        <vertAlign val="baseline"/>
        <sz val="9"/>
        <color rgb="FF1B1B1B"/>
        <name val="Roboto"/>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F8E5"/>
      <color rgb="FFFAD2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hyperlink" Target="https://aoprals.state.gov/web920/per_diem.asp" TargetMode="External"/><Relationship Id="rId2" Type="http://schemas.openxmlformats.org/officeDocument/2006/relationships/image" Target="../media/image1.png"/><Relationship Id="rId1" Type="http://schemas.openxmlformats.org/officeDocument/2006/relationships/hyperlink" Target="https://www.travel.dod.mil/Travel-Transportation-Rates/Per-Diem/Per-Diem-Rate-Lookup/" TargetMode="External"/><Relationship Id="rId6" Type="http://schemas.openxmlformats.org/officeDocument/2006/relationships/image" Target="../media/image3.png"/><Relationship Id="rId5" Type="http://schemas.openxmlformats.org/officeDocument/2006/relationships/hyperlink" Target="https://www.gsa.gov/travel/plan-book/per-diem-rates" TargetMode="External"/><Relationship Id="rId4"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5</xdr:col>
      <xdr:colOff>366887</xdr:colOff>
      <xdr:row>0</xdr:row>
      <xdr:rowOff>44803</xdr:rowOff>
    </xdr:from>
    <xdr:to>
      <xdr:col>24</xdr:col>
      <xdr:colOff>380998</xdr:colOff>
      <xdr:row>1</xdr:row>
      <xdr:rowOff>148167</xdr:rowOff>
    </xdr:to>
    <xdr:sp macro="" textlink="">
      <xdr:nvSpPr>
        <xdr:cNvPr id="4" name="TextBox 3">
          <a:extLst>
            <a:ext uri="{FF2B5EF4-FFF2-40B4-BE49-F238E27FC236}">
              <a16:creationId xmlns:a16="http://schemas.microsoft.com/office/drawing/2014/main" id="{7E1F09A6-CE3F-B6FE-4A0A-80436DCB12D8}"/>
            </a:ext>
          </a:extLst>
        </xdr:cNvPr>
        <xdr:cNvSpPr txBox="1"/>
      </xdr:nvSpPr>
      <xdr:spPr>
        <a:xfrm>
          <a:off x="4769554" y="44803"/>
          <a:ext cx="9158111" cy="4843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Instructions: Enter the values into the beige colored fields. The Travel Date fields will define per diem values. When available, select from the drop-down options. Enter all values in US Dollars.</a:t>
          </a:r>
          <a:r>
            <a:rPr lang="en-US" sz="1100" b="1" baseline="0"/>
            <a:t>  For more details, refer to the Instructions tab.</a:t>
          </a:r>
          <a:endParaRPr lang="en-US" sz="1100" b="1"/>
        </a:p>
      </xdr:txBody>
    </xdr:sp>
    <xdr:clientData/>
  </xdr:twoCellAnchor>
  <xdr:twoCellAnchor editAs="oneCell">
    <xdr:from>
      <xdr:col>5</xdr:col>
      <xdr:colOff>70555</xdr:colOff>
      <xdr:row>6</xdr:row>
      <xdr:rowOff>180373</xdr:rowOff>
    </xdr:from>
    <xdr:to>
      <xdr:col>7</xdr:col>
      <xdr:colOff>151084</xdr:colOff>
      <xdr:row>8</xdr:row>
      <xdr:rowOff>316629</xdr:rowOff>
    </xdr:to>
    <xdr:pic>
      <xdr:nvPicPr>
        <xdr:cNvPr id="17" name="Picture 16">
          <a:hlinkClick xmlns:r="http://schemas.openxmlformats.org/officeDocument/2006/relationships" r:id="rId1"/>
          <a:extLst>
            <a:ext uri="{FF2B5EF4-FFF2-40B4-BE49-F238E27FC236}">
              <a16:creationId xmlns:a16="http://schemas.microsoft.com/office/drawing/2014/main" id="{36B2528D-2CDC-39CF-28E5-6F4A37DA9DC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473222" y="1810206"/>
          <a:ext cx="2084610" cy="496957"/>
        </a:xfrm>
        <a:prstGeom prst="rect">
          <a:avLst/>
        </a:prstGeom>
      </xdr:spPr>
    </xdr:pic>
    <xdr:clientData/>
  </xdr:twoCellAnchor>
  <xdr:twoCellAnchor editAs="oneCell">
    <xdr:from>
      <xdr:col>5</xdr:col>
      <xdr:colOff>380999</xdr:colOff>
      <xdr:row>8</xdr:row>
      <xdr:rowOff>288551</xdr:rowOff>
    </xdr:from>
    <xdr:to>
      <xdr:col>7</xdr:col>
      <xdr:colOff>677945</xdr:colOff>
      <xdr:row>9</xdr:row>
      <xdr:rowOff>30497</xdr:rowOff>
    </xdr:to>
    <xdr:pic>
      <xdr:nvPicPr>
        <xdr:cNvPr id="18" name="Picture 17">
          <a:hlinkClick xmlns:r="http://schemas.openxmlformats.org/officeDocument/2006/relationships" r:id="rId3"/>
          <a:extLst>
            <a:ext uri="{FF2B5EF4-FFF2-40B4-BE49-F238E27FC236}">
              <a16:creationId xmlns:a16="http://schemas.microsoft.com/office/drawing/2014/main" id="{8B988AC3-1D53-E330-ACCD-8C818FC2938A}"/>
            </a:ext>
          </a:extLst>
        </xdr:cNvPr>
        <xdr:cNvPicPr>
          <a:picLocks noChangeAspect="1"/>
        </xdr:cNvPicPr>
      </xdr:nvPicPr>
      <xdr:blipFill>
        <a:blip xmlns:r="http://schemas.openxmlformats.org/officeDocument/2006/relationships" r:embed="rId4"/>
        <a:stretch>
          <a:fillRect/>
        </a:stretch>
      </xdr:blipFill>
      <xdr:spPr>
        <a:xfrm>
          <a:off x="4783666" y="2285273"/>
          <a:ext cx="2296429" cy="424056"/>
        </a:xfrm>
        <a:prstGeom prst="rect">
          <a:avLst/>
        </a:prstGeom>
      </xdr:spPr>
    </xdr:pic>
    <xdr:clientData/>
  </xdr:twoCellAnchor>
  <xdr:twoCellAnchor editAs="oneCell">
    <xdr:from>
      <xdr:col>5</xdr:col>
      <xdr:colOff>402167</xdr:colOff>
      <xdr:row>5</xdr:row>
      <xdr:rowOff>91715</xdr:rowOff>
    </xdr:from>
    <xdr:to>
      <xdr:col>5</xdr:col>
      <xdr:colOff>1009574</xdr:colOff>
      <xdr:row>7</xdr:row>
      <xdr:rowOff>26184</xdr:rowOff>
    </xdr:to>
    <xdr:pic>
      <xdr:nvPicPr>
        <xdr:cNvPr id="19" name="Picture 18">
          <a:hlinkClick xmlns:r="http://schemas.openxmlformats.org/officeDocument/2006/relationships" r:id="rId5"/>
          <a:extLst>
            <a:ext uri="{FF2B5EF4-FFF2-40B4-BE49-F238E27FC236}">
              <a16:creationId xmlns:a16="http://schemas.microsoft.com/office/drawing/2014/main" id="{60F4DA58-E1AD-B721-4D35-76BB2F909254}"/>
            </a:ext>
          </a:extLst>
        </xdr:cNvPr>
        <xdr:cNvPicPr>
          <a:picLocks noChangeAspect="1"/>
        </xdr:cNvPicPr>
      </xdr:nvPicPr>
      <xdr:blipFill>
        <a:blip xmlns:r="http://schemas.openxmlformats.org/officeDocument/2006/relationships" r:embed="rId6"/>
        <a:stretch>
          <a:fillRect/>
        </a:stretch>
      </xdr:blipFill>
      <xdr:spPr>
        <a:xfrm>
          <a:off x="4804834" y="1227659"/>
          <a:ext cx="609524" cy="6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5DB10FA-932E-4834-9131-3D993C4E9207}" name="TblTrvlDetails" displayName="TblTrvlDetails" ref="B14:AA29" totalsRowShown="0" headerRowDxfId="76" dataDxfId="74" headerRowBorderDxfId="75" tableBorderDxfId="73" totalsRowBorderDxfId="72">
  <tableColumns count="26">
    <tableColumn id="13" xr3:uid="{018D380F-D6BB-4E19-834A-51AD7DEF7918}" name="Location" dataDxfId="71"/>
    <tableColumn id="12" xr3:uid="{0CCF96E4-0949-4FD9-88EE-0495CC0B73F0}" name="Rate Type" dataDxfId="70"/>
    <tableColumn id="22" xr3:uid="{8AED8B5F-94CD-420D-978A-7817A5759562}" name="Notes (optional)" dataDxfId="69"/>
    <tableColumn id="18" xr3:uid="{F952657B-F131-49C3-B946-E845CC529F29}" name="D/I" dataDxfId="68">
      <calculatedColumnFormula>_xlfn.IFNA(IF(VLOOKUP(TblTrvlDetails[[#This Row],[Location]],TblDom[],2,FALSE)&lt;&gt;"International","D",IF(VLOOKUP(TblTrvlDetails[[#This Row],[Location]],TblDom[],2,FALSE)="International","I","")),"")</calculatedColumnFormula>
    </tableColumn>
    <tableColumn id="1" xr3:uid="{893B0822-69BE-4244-8863-6B7D0C67F528}" name="M&amp;IE Rates/Day_x000a_based on Rate Type" dataDxfId="67">
      <calculatedColumnFormula>IFERROR(
IF(AND(ISBLANK(TblTrvlDetails[[#This Row],[Rate Type]])),0,(
IF((TblTrvlDetails[[#This Row],[Rate Type]])="Not Claiming Per Diem",0,(
IF(AND(TblTrvlDetails[[#This Row],[Rate Type]]=Data!$Z$4,(OR(ISBLANK(TblTrvlDetails[[#This Row],[Location]]),VLOOKUP(TblTrvlDetails[[#This Row],[Location]],TblDom[],2,FALSE)="International"))), VLOOKUP(TblTrvlDetails[[#This Row],[Location]],TblDom[],3,FALSE)*0.75,
IF(AND(TblTrvlDetails[[#This Row],[Rate Type]]=Data!$Z$4,(OR(ISBLANK(TblTrvlDetails[[#This Row],[Location]]),VLOOKUP(TblTrvlDetails[[#This Row],[Location]],TblDom[],2,FALSE)&lt;=IF($G$4&lt;10/1/2025,HighestRate24,HighestRate25)))), VLOOKUP(TblTrvlDetails[[#This Row],[Location]],TblDom[],2,FALSE)*0.75,
IF(AND(TblTrvlDetails[[#This Row],[Rate Type]]=Data!$Z$5,(OR(ISBLANK(TblTrvlDetails[[#This Row],[Location]]),VLOOKUP(TblTrvlDetails[[#This Row],[Location]],TblDom[],2,FALSE)="International"))), VLOOKUP(TblTrvlDetails[[#This Row],[Location]],TblDom[],3,FALSE),
IF(AND(TblTrvlDetails[[#This Row],[Rate Type]]=Data!$Z$5,(OR(ISBLANK(TblTrvlDetails[[#This Row],[Location]]),VLOOKUP(TblTrvlDetails[[#This Row],[Location]],TblDom[],2,FALSE)&lt;=IF($G$4&lt;10/1/2025,HighestRate24,HighestRate25)))), VLOOKUP(TblTrvlDetails[[#This Row],[Location]],TblDom[],2,FALSE))))))))),0)</calculatedColumnFormula>
    </tableColumn>
    <tableColumn id="2" xr3:uid="{58808C8B-DDD3-4EA5-B727-4156047646B4}" name="Travel Date_x000a_required" dataDxfId="66">
      <calculatedColumnFormula>IF(ISBLANK(TblTrvlDetails[[#This Row],[Rate Type]])=TRUE,"","Enter Date")</calculatedColumnFormula>
    </tableColumn>
    <tableColumn id="3" xr3:uid="{636CFAB8-333E-459E-AFE1-B9C9058EC0D8}" name="Personal Day?_x000a_Yes = 1" dataDxfId="65">
      <calculatedColumnFormula>0</calculatedColumnFormula>
    </tableColumn>
    <tableColumn id="5" xr3:uid="{232DD9FC-1F80-415B-AB5D-1E35A192476C}" name="# Provided Breakfasts" dataDxfId="64">
      <calculatedColumnFormula>0</calculatedColumnFormula>
    </tableColumn>
    <tableColumn id="7" xr3:uid="{19F10837-F244-4B7E-B4D2-8A60B3F5768B}" name="# Provided Lunches" dataDxfId="63">
      <calculatedColumnFormula>0</calculatedColumnFormula>
    </tableColumn>
    <tableColumn id="9" xr3:uid="{33BDE186-C93E-460D-BC5B-46918D6344BB}" name="# Provided Dinners" dataDxfId="62">
      <calculatedColumnFormula>0</calculatedColumnFormula>
    </tableColumn>
    <tableColumn id="21" xr3:uid="{B28256F2-93E2-438F-A6B2-171F5D17A8AE}" name="M&amp;IE Total" dataDxfId="61">
      <calculatedColumnFormula>IF(TblTrvlDetails[[#This Row],[Travel Date
required]]="Enter Date",0,IF(TblTrvlDetails[[#This Row],[Travel Date
required]]="",0,IF(SUM(TblTrvlDetails[[#This Row],[Breakfast]:[Incidental Expenses]])=0,TblTrvlDetails[[#This Row],[M&amp;IE Rates/Day
based on Rate Type]],IFERROR(SUM(IF(TblTrvlDetails[[#This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calculatedColumnFormula>
    </tableColumn>
    <tableColumn id="17" xr3:uid="{94726C31-5C50-4F55-8CFD-72EDC14B8F10}" name="Airfare*" dataDxfId="60"/>
    <tableColumn id="16" xr3:uid="{7FD5D9A2-E553-4CFB-A2F5-D473F42A9BD2}" name="Lodging*" dataDxfId="59"/>
    <tableColumn id="11" xr3:uid="{54F08054-FBBE-47B7-B516-14A3304C486B}" name="Miles*" dataDxfId="58"/>
    <tableColumn id="14" xr3:uid="{15E74E2F-21D9-4D0B-A873-02677E505EBE}" name="Ground Transport*" dataDxfId="57"/>
    <tableColumn id="23" xr3:uid="{214C631E-27DA-4300-B334-D94DD2EDDD09}" name="Car Rental*" dataDxfId="56"/>
    <tableColumn id="20" xr3:uid="{817F2205-CF57-45FD-BFE5-54983262C97E}" name="Business Expense*" dataDxfId="55"/>
    <tableColumn id="19" xr3:uid="{7D54C5E4-2C80-47E2-83C9-55E6F22DBD44}" name="Full Amt" dataDxfId="54">
      <calculatedColumnFormula>IF(ISBLANK(TblTrvlDetails[[#This Row],[Location]]),0,IF(TblTrvlDetails[[#This Row],[D/I]]="I",VLOOKUP(TblTrvlDetails[[#This Row],[Location]],TblDom[],3,FALSE),VLOOKUP(TblTrvlDetails[[#This Row],[Location]],TblDom[],2,FALSE)))</calculatedColumnFormula>
    </tableColumn>
    <tableColumn id="4" xr3:uid="{09D30F4F-8EAB-4605-9254-8DDF605B1F5A}" name="Breakfast" dataDxfId="53">
      <calculatedColumnFormula>IF($G15="Enter Date",0,
IF(AND($G15&lt;&gt;"Enter Date",$G15&lt;DATEVALUE("10/1/25")),
IFERROR((
IF(AND(TblTrvlDetails[[#This Row],[D/I]]="I",TblTrvlDetails[[#This Row],[M&amp;IE Rates/Day
based on Rate Type]]&gt;265),TblTrvlDetails[[#This Row],[M&amp;IE Rates/Day
based on Rate Type]]*Data!C4,
IF(AND(TblTrvlDetails[[#This Row],[D/I]]="I",TblTrvlDetails[[#This Row],[M&amp;IE Rates/Day
based on Rate Type]]&lt;=265,TblTrvlDetails[[#This Row],[Rate Type]]=Data!$Z$4),VLOOKUP(TblTrvlDetails[[#This Row],[Full Amt]],TblIntl[],2,FALSE),
IF(AND(TblTrvlDetails[[#This Row],[D/I]]="I",TblTrvlDetails[[#This Row],[M&amp;IE Rates/Day
based on Rate Type]]&lt;=265,TblTrvlDetails[[#This Row],[Rate Type]]=Data!$Z$5),VLOOKUP(TblTrvlDetails[[#This Row],[Full Amt]],TblIntl[],2,FALSE),
IF(AND(TblTrvlDetails[[#This Row],[D/I]]="D",TblTrvlDetails[[#This Row],[Rate Type]]=Data!$Z$4),VLOOKUP(TblTrvlDetails[[#This Row],[Rate Unique '#]],newrate,3,0),
IF(AND(TblTrvlDetails[[#This Row],[D/I]]="D",TblTrvlDetails[[#This Row],[Rate Type]]=Data!$Z$5),VLOOKUP(TblTrvlDetails[[#This Row],[Rate Unique '#]],newrate,3,0),0)))))),0),
IF($G15&gt;=DATEVALUE("10/1/25"),IFERROR((
IF(AND(TblTrvlDetails[[#This Row],[D/I]]="I",TblTrvlDetails[[#This Row],[M&amp;IE Rates/Day
based on Rate Type]]&gt;265),TblTrvlDetails[[#This Row],[M&amp;IE Rates/Day
based on Rate Type]]*Data!C4,
IF(AND(TblTrvlDetails[[#This Row],[D/I]]="I",TblTrvlDetails[[#This Row],[M&amp;IE Rates/Day
based on Rate Type]]&lt;=265,TblTrvlDetails[[#This Row],[Rate Type]]=Data!$Z$4),VLOOKUP(TblTrvlDetails[[#This Row],[Full Amt]],TblIntl2024[],2,FALSE),
IF(AND(TblTrvlDetails[[#This Row],[D/I]]="I",TblTrvlDetails[[#This Row],[M&amp;IE Rates/Day
based on Rate Type]]&lt;=265,TblTrvlDetails[[#This Row],[Rate Type]]=Data!$Z$5),VLOOKUP(TblTrvlDetails[[#This Row],[Full Amt]],TblIntl2024[],2,FALSE),
IF(AND(TblTrvlDetails[[#This Row],[D/I]]="D",TblTrvlDetails[[#This Row],[Rate Type]]=Data!$Z$4),VLOOKUP(TblTrvlDetails[[#This Row],[Rate Unique '#]],newrate,3,0),
IF(AND(TblTrvlDetails[[#This Row],[D/I]]="D",TblTrvlDetails[[#This Row],[Rate Type]]=Data!$Z$5),VLOOKUP(TblTrvlDetails[[#This Row],[Rate Unique '#]],newrate,3,0),0)))))),0))))</calculatedColumnFormula>
    </tableColumn>
    <tableColumn id="6" xr3:uid="{F4B25A4D-63BD-44F4-829B-C84E7179300A}" name="Lunch" dataDxfId="52">
      <calculatedColumnFormula>IF($G15="Enter Date",0,
IF(AND($G15&lt;&gt;"Enter Date",$G15&lt;DATEVALUE("10/1/25")),
IFERROR((
IF(AND(TblTrvlDetails[[#This Row],[D/I]]="I",TblTrvlDetails[[#This Row],[M&amp;IE Rates/Day
based on Rate Type]]&gt;265),TblTrvlDetails[[#This Row],[M&amp;IE Rates/Day
based on Rate Type]]*Data!C4,
IF(AND(TblTrvlDetails[[#This Row],[D/I]]="I",TblTrvlDetails[[#This Row],[M&amp;IE Rates/Day
based on Rate Type]]&lt;=265,TblTrvlDetails[[#This Row],[Rate Type]]=Data!$Z$4),VLOOKUP(TblTrvlDetails[[#This Row],[Full Amt]],TblIntl[],3,FALSE),
IF(AND(TblTrvlDetails[[#This Row],[D/I]]="I",TblTrvlDetails[[#This Row],[M&amp;IE Rates/Day
based on Rate Type]]&lt;=265,TblTrvlDetails[[#This Row],[Rate Type]]=Data!$Z$5),VLOOKUP(TblTrvlDetails[[#This Row],[Full Amt]],TblIntl[],3,FALSE),
IF(AND(TblTrvlDetails[[#This Row],[D/I]]="D",TblTrvlDetails[[#This Row],[Rate Type]]=Data!$Z$4),VLOOKUP(TblTrvlDetails[[#This Row],[Rate Unique '#]],newrate,4,0),
IF(AND(TblTrvlDetails[[#This Row],[D/I]]="D",TblTrvlDetails[[#This Row],[Rate Type]]=Data!$Z$5),VLOOKUP(TblTrvlDetails[[#This Row],[Rate Unique '#]],newrate,4,0),0)))))),0),
IF($G15&gt;=DATEVALUE("10/1/25"),IFERROR((
IF(AND(TblTrvlDetails[[#This Row],[D/I]]="I",TblTrvlDetails[[#This Row],[M&amp;IE Rates/Day
based on Rate Type]]&gt;265),TblTrvlDetails[[#This Row],[M&amp;IE Rates/Day
based on Rate Type]]*Data!C4,
IF(AND(TblTrvlDetails[[#This Row],[D/I]]="I",TblTrvlDetails[[#This Row],[M&amp;IE Rates/Day
based on Rate Type]]&lt;=265,TblTrvlDetails[[#This Row],[Rate Type]]=Data!$Z$4),VLOOKUP(TblTrvlDetails[[#This Row],[Full Amt]],TblIntl2024[],3,FALSE),
IF(AND(TblTrvlDetails[[#This Row],[D/I]]="I",TblTrvlDetails[[#This Row],[M&amp;IE Rates/Day
based on Rate Type]]&lt;=265,TblTrvlDetails[[#This Row],[Rate Type]]=Data!$Z$5),VLOOKUP(TblTrvlDetails[[#This Row],[Full Amt]],TblIntl2024[],3,FALSE),
IF(AND(TblTrvlDetails[[#This Row],[D/I]]="D",TblTrvlDetails[[#This Row],[Rate Type]]=Data!$Z$4),VLOOKUP(TblTrvlDetails[[#This Row],[Rate Unique '#]],newrate,4,0),
IF(AND(TblTrvlDetails[[#This Row],[D/I]]="D",TblTrvlDetails[[#This Row],[Rate Type]]=Data!$Z$5),VLOOKUP(TblTrvlDetails[[#This Row],[Rate Unique '#]],newrate,4,0),0)))))),0))))</calculatedColumnFormula>
    </tableColumn>
    <tableColumn id="8" xr3:uid="{3FADC7C4-1D88-4817-8838-C62190199E1C}" name="Dinner" dataDxfId="51">
      <calculatedColumnFormula>IF($G15="Enter Date",0,
IF(AND($G15&lt;&gt;"Enter Date",$G15&lt;DATEVALUE("10/1/25")),
IFERROR((
IF(AND(TblTrvlDetails[[#This Row],[D/I]]="I",TblTrvlDetails[[#This Row],[M&amp;IE Rates/Day
based on Rate Type]]&gt;265),TblTrvlDetails[[#This Row],[M&amp;IE Rates/Day
based on Rate Type]]*Data!C4,
IF(AND(TblTrvlDetails[[#This Row],[D/I]]="I",TblTrvlDetails[[#This Row],[M&amp;IE Rates/Day
based on Rate Type]]&lt;=265,TblTrvlDetails[[#This Row],[Rate Type]]=Data!$Z$4),VLOOKUP(TblTrvlDetails[[#This Row],[Full Amt]],TblIntl[],4,FALSE),
IF(AND(TblTrvlDetails[[#This Row],[D/I]]="I",TblTrvlDetails[[#This Row],[M&amp;IE Rates/Day
based on Rate Type]]&lt;=265,TblTrvlDetails[[#This Row],[Rate Type]]=Data!$Z$5),VLOOKUP(TblTrvlDetails[[#This Row],[Full Amt]],TblIntl[],4,FALSE),
IF(AND(TblTrvlDetails[[#This Row],[D/I]]="D",TblTrvlDetails[[#This Row],[Rate Type]]=Data!$Z$4),VLOOKUP(TblTrvlDetails[[#This Row],[Rate Unique '#]],newrate,5,0),
IF(AND(TblTrvlDetails[[#This Row],[D/I]]="D",TblTrvlDetails[[#This Row],[Rate Type]]=Data!$Z$5),VLOOKUP(TblTrvlDetails[[#This Row],[Rate Unique '#]],newrate,5,0),0)))))),0),
IF($G15&gt;=DATEVALUE("10/1/25"),IFERROR((
IF(AND(TblTrvlDetails[[#This Row],[D/I]]="I",TblTrvlDetails[[#This Row],[M&amp;IE Rates/Day
based on Rate Type]]&gt;265),TblTrvlDetails[[#This Row],[M&amp;IE Rates/Day
based on Rate Type]]*Data!C4,
IF(AND(TblTrvlDetails[[#This Row],[D/I]]="I",TblTrvlDetails[[#This Row],[M&amp;IE Rates/Day
based on Rate Type]]&lt;=265,TblTrvlDetails[[#This Row],[Rate Type]]=Data!$Z$4),VLOOKUP(TblTrvlDetails[[#This Row],[Full Amt]],TblIntl2024[],4,FALSE),
IF(AND(TblTrvlDetails[[#This Row],[D/I]]="I",TblTrvlDetails[[#This Row],[M&amp;IE Rates/Day
based on Rate Type]]&lt;=265,TblTrvlDetails[[#This Row],[Rate Type]]=Data!$Z$5),VLOOKUP(TblTrvlDetails[[#This Row],[Full Amt]],TblIntl2024[],4,FALSE),
IF(AND(TblTrvlDetails[[#This Row],[D/I]]="D",TblTrvlDetails[[#This Row],[Rate Type]]=Data!$Z$4),VLOOKUP(TblTrvlDetails[[#This Row],[Rate Unique '#]],newrate,5,0),
IF(AND(TblTrvlDetails[[#This Row],[D/I]]="D",TblTrvlDetails[[#This Row],[Rate Type]]=Data!$Z$5),VLOOKUP(TblTrvlDetails[[#This Row],[Rate Unique '#]],newrate,5,0),0)))))),0))))</calculatedColumnFormula>
    </tableColumn>
    <tableColumn id="10" xr3:uid="{356A166E-EFFB-4344-94AA-4D376642B1E6}" name="Incidental Expenses" dataDxfId="50">
      <calculatedColumnFormula>IF($G15="Enter Date",0,
IF(AND($G15&lt;&gt;"Enter Date",$G15&lt;DATEVALUE("10/1/25")),
IFERROR((
IF(AND(TblTrvlDetails[[#This Row],[D/I]]="I",TblTrvlDetails[[#This Row],[M&amp;IE Rates/Day
based on Rate Type]]&gt;265),TblTrvlDetails[[#This Row],[M&amp;IE Rates/Day
based on Rate Type]]*Data!C4,
IF(AND(TblTrvlDetails[[#This Row],[D/I]]="I",TblTrvlDetails[[#This Row],[M&amp;IE Rates/Day
based on Rate Type]]&lt;=265,TblTrvlDetails[[#This Row],[Rate Type]]=Data!$Z$4),VLOOKUP(TblTrvlDetails[[#This Row],[Full Amt]],TblIntl[],5,FALSE),
IF(AND(TblTrvlDetails[[#This Row],[D/I]]="I",TblTrvlDetails[[#This Row],[M&amp;IE Rates/Day
based on Rate Type]]&lt;=265,TblTrvlDetails[[#This Row],[Rate Type]]=Data!$Z$5),VLOOKUP(TblTrvlDetails[[#This Row],[Full Amt]],TblIntl[],5,FALSE),
IF(AND(TblTrvlDetails[[#This Row],[D/I]]="D",TblTrvlDetails[[#This Row],[Rate Type]]=Data!$Z$4),VLOOKUP(TblTrvlDetails[[#This Row],[Rate Unique '#]],newrate,6,0),
IF(AND(TblTrvlDetails[[#This Row],[D/I]]="D",TblTrvlDetails[[#This Row],[Rate Type]]=Data!$Z$5),VLOOKUP(TblTrvlDetails[[#This Row],[Rate Unique '#]],newrate,6,0),0)))))),0),
IF($G15&gt;=DATEVALUE("10/1/25"),IFERROR((
IF(AND(TblTrvlDetails[[#This Row],[D/I]]="I",TblTrvlDetails[[#This Row],[M&amp;IE Rates/Day
based on Rate Type]]&gt;265),TblTrvlDetails[[#This Row],[M&amp;IE Rates/Day
based on Rate Type]]*Data!C4,
IF(AND(TblTrvlDetails[[#This Row],[D/I]]="I",TblTrvlDetails[[#This Row],[M&amp;IE Rates/Day
based on Rate Type]]&lt;=265,TblTrvlDetails[[#This Row],[Rate Type]]=Data!$Z$4),VLOOKUP(TblTrvlDetails[[#This Row],[Full Amt]],TblIntl2024[],5,FALSE),
IF(AND(TblTrvlDetails[[#This Row],[D/I]]="I",TblTrvlDetails[[#This Row],[M&amp;IE Rates/Day
based on Rate Type]]&lt;=265,TblTrvlDetails[[#This Row],[Rate Type]]=Data!$Z$5),VLOOKUP(TblTrvlDetails[[#This Row],[Full Amt]],TblIntl2024[],5,FALSE),
IF(AND(TblTrvlDetails[[#This Row],[D/I]]="D",TblTrvlDetails[[#This Row],[Rate Type]]=Data!$Z$4),VLOOKUP(TblTrvlDetails[[#This Row],[Rate Unique '#]],newrate,6,0),
IF(AND(TblTrvlDetails[[#This Row],[D/I]]="D",TblTrvlDetails[[#This Row],[Rate Type]]=Data!$Z$5),VLOOKUP(TblTrvlDetails[[#This Row],[Rate Unique '#]],newrate,6,0),0)))))),0))))</calculatedColumnFormula>
    </tableColumn>
    <tableColumn id="15" xr3:uid="{89014092-F713-490A-808C-CE7ED88B8169}" name="Total" dataDxfId="49">
      <calculatedColumnFormula>SUM(IFERROR(SUMIFS(TblTrvlDetails[[#This Row],[Miles*]],TblTrvlDetails[[#This Row],[Travel Date
required]],"&lt;01/01/2025")*(VLOOKUP("Car Mileage",TblTransport[#All],2,FALSE)),0),IFERROR(SUMIFS(TblTrvlDetails[[#This Row],[Miles*]],TblTrvlDetails[[#This Row],[Travel Date
required]],"&gt;=01/01/2025")*(VLOOKUP("Car Mileage",TblTransport[#All],3,FALSE)),0),TblTrvlDetails[[#This Row],[M&amp;IE Total]:[Lodging*]],TblTrvlDetails[[#This Row],[Ground Transport*]:[Business Expense*]])</calculatedColumnFormula>
    </tableColumn>
    <tableColumn id="25" xr3:uid="{6FD86520-FE29-43D7-9AB0-B82E6FE225A3}" name="Advance*" dataDxfId="48"/>
    <tableColumn id="24" xr3:uid="{D94DAA4E-786B-483D-875E-DA8C31478CEA}" name="GSA FY" dataDxfId="47" dataCellStyle="Comma">
      <calculatedColumnFormula>IF(MONTH(TblTrvlDetails[[#This Row],[Travel Date
required]])&lt;10,YEAR(TblTrvlDetails[[#This Row],[Travel Date
required]]),YEAR(TblTrvlDetails[[#This Row],[Travel Date
required]])+1)</calculatedColumnFormula>
    </tableColumn>
    <tableColumn id="26" xr3:uid="{5D51DCC8-B38C-4A93-96A9-872FA525F901}" name="Rate Unique #" dataDxfId="46">
      <calculatedColumnFormula>CONCATENATE(TblTrvlDetails[[#This Row],[GSA FY]],TblTrvlDetails[[#This Row],[Full Amt]])</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C03210-D66A-4B1A-A407-C51912D216FA}" name="TblDom" displayName="TblDom" ref="B6:D11" totalsRowShown="0" headerRowDxfId="45" dataDxfId="43" headerRowBorderDxfId="44" tableBorderDxfId="42">
  <tableColumns count="3">
    <tableColumn id="1" xr3:uid="{369570FD-1834-4FB8-9234-0E0D6C23D427}" name="Location (Only Enter Lodging Destinations)" dataDxfId="41"/>
    <tableColumn id="2" xr3:uid="{136AC6CE-68BB-484F-A9B8-6C1A0F421606}" name="Domestic Rates (GSA)" dataDxfId="40"/>
    <tableColumn id="4" xr3:uid="{06411064-9ACB-4BD4-9F2A-391D84E26978}" name="Alaska/Hawaii (DoD) or_x000a_International Rates (State Dept) " dataDxfId="39"/>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D5A5ABF-B840-445B-B35C-3BE7A5300D43}" name="Table4" displayName="Table4" ref="A1:C14" totalsRowShown="0" dataDxfId="37" headerRowBorderDxfId="38" tableBorderDxfId="36" totalsRowBorderDxfId="35">
  <autoFilter ref="A1:C14" xr:uid="{2D5A5ABF-B840-445B-B35C-3BE7A5300D43}"/>
  <tableColumns count="3">
    <tableColumn id="1" xr3:uid="{7E9DAA8C-B76E-42EB-9EC8-CCC165C4B263}" name="Version" dataDxfId="34"/>
    <tableColumn id="2" xr3:uid="{C0C8E237-F155-4CC7-BCCD-88891EDFA982}" name="Changes" dataDxfId="33"/>
    <tableColumn id="3" xr3:uid="{8E8CF180-BF1D-4282-8B8F-AB3016E3E2BA}" name="Date" dataDxfId="32"/>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7F24E3-9B62-4D75-AB94-D629A941E876}" name="TblAllRates" displayName="TblAllRates" ref="M3:T15" totalsRowShown="0" headerRowDxfId="31" dataDxfId="30">
  <autoFilter ref="M3:T15" xr:uid="{007F24E3-9B62-4D75-AB94-D629A941E876}"/>
  <tableColumns count="8">
    <tableColumn id="8" xr3:uid="{32148436-57BE-4325-8C35-9B4AE0BDDC31}" name="Column1" dataDxfId="29"/>
    <tableColumn id="1" xr3:uid="{A52B328C-657E-4123-A996-B689BA143149}" name="Per Diem Rate" dataDxfId="28"/>
    <tableColumn id="2" xr3:uid="{D718D368-7E6D-4AFB-A352-76B37A8562BB}" name="Breakfast" dataDxfId="27"/>
    <tableColumn id="3" xr3:uid="{23874979-C1D3-45FC-BA75-886E7CFF6C7F}" name="Lunch" dataDxfId="26"/>
    <tableColumn id="4" xr3:uid="{5BBF119C-0224-441D-B400-68C964BF3CB6}" name="Dinner" dataDxfId="25"/>
    <tableColumn id="5" xr3:uid="{ABB4ECA3-75DB-4B39-846C-8A527BC9560B}" name="Incidental" dataDxfId="24"/>
    <tableColumn id="6" xr3:uid="{8A1DFD0E-9BE1-4120-B3A6-B83E05C33FA5}" name="First/Last Day Per Diem" dataDxfId="23"/>
    <tableColumn id="7" xr3:uid="{E78E8214-AA9F-4646-ADBE-A63C268BF179}" name="Year Effective" dataDxfId="22"/>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6267316-DC01-4E89-B5CB-3C9256ABD4D1}" name="TblTransport" displayName="TblTransport" ref="V3:X6" totalsRowShown="0">
  <autoFilter ref="V3:X6" xr:uid="{E6267316-DC01-4E89-B5CB-3C9256ABD4D1}"/>
  <tableColumns count="3">
    <tableColumn id="1" xr3:uid="{5E268EDE-829F-4B1E-ADEB-24A6F43C8BD5}" name="Type"/>
    <tableColumn id="2" xr3:uid="{7F9FAF4B-E211-47D3-A097-7F712A9233D5}" name="Amount"/>
    <tableColumn id="3" xr3:uid="{90CFF4FB-B814-4CD4-875C-8CEA7A3649FC}" name="NEW Rate"/>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7B89E36-B48D-4F96-B77C-4918C0CAC323}" name="TblRateType" displayName="TblRateType" ref="Z3:Z6" totalsRowShown="0">
  <autoFilter ref="Z3:Z6" xr:uid="{F7B89E36-B48D-4F96-B77C-4918C0CAC323}"/>
  <tableColumns count="1">
    <tableColumn id="1" xr3:uid="{CD46FC7A-016F-4463-BA1D-8F86385ED5AC}" name="Rate Type"/>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E4300BC-A960-4A6B-ACC2-33428942FB17}" name="TblIntl" displayName="TblIntl" ref="A3:E269" totalsRowShown="0" headerRowDxfId="21" dataDxfId="19" headerRowBorderDxfId="20" tableBorderDxfId="18" totalsRowBorderDxfId="17">
  <autoFilter ref="A3:E269" xr:uid="{4E4300BC-A960-4A6B-ACC2-33428942FB17}"/>
  <tableColumns count="5">
    <tableColumn id="1" xr3:uid="{D9FD2219-6ED6-464D-A8E8-59B8F5AADAC2}" name="M &amp;IE Rate" dataDxfId="16"/>
    <tableColumn id="2" xr3:uid="{6E01541D-3123-4083-837E-775F620887FF}" name="Breakfast" dataDxfId="15"/>
    <tableColumn id="3" xr3:uid="{857ED8B7-AC71-4F51-825C-F4E7ECCD0912}" name="Lunch" dataDxfId="14"/>
    <tableColumn id="4" xr3:uid="{81F785C4-A9BC-4DE3-B2E8-8ECF6AADB9A8}" name="Dinner" dataDxfId="13"/>
    <tableColumn id="5" xr3:uid="{752CFECF-4D6F-4F08-8FEF-15BB5C50AF4F}" name="Incidentals" dataDxfId="12"/>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1E4697BC-3E92-4D77-BF8A-1FD71B76FC03}" name="TblIntl2024" displayName="TblIntl2024" ref="G3:K269" totalsRowShown="0" headerRowDxfId="11" dataDxfId="9" headerRowBorderDxfId="10" tableBorderDxfId="8" totalsRowBorderDxfId="7">
  <autoFilter ref="G3:K269" xr:uid="{1E4697BC-3E92-4D77-BF8A-1FD71B76FC03}"/>
  <tableColumns count="5">
    <tableColumn id="1" xr3:uid="{06375676-5EAB-4122-9D5A-0C53FFBB9827}" name="M &amp;IE Rate" dataDxfId="6"/>
    <tableColumn id="2" xr3:uid="{63935FC5-801A-4D4B-BCAC-80AFB7842656}" name="Breakfast" dataDxfId="5"/>
    <tableColumn id="3" xr3:uid="{DA06870E-BF53-44B2-8128-1E37C5D56925}" name="Lunch" dataDxfId="4"/>
    <tableColumn id="4" xr3:uid="{CAC089AA-A112-4413-B60D-B04AAFF8D510}" name="Dinner" dataDxfId="3"/>
    <tableColumn id="5" xr3:uid="{F090E308-BE54-4324-A343-A11C9274843F}" name="Incidentals" dataDxfId="2"/>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ravel.dod.mil/Travel-Transportation-Rates/Per-Diem/Per-Diem-Rate-Lookup/" TargetMode="External"/><Relationship Id="rId2" Type="http://schemas.openxmlformats.org/officeDocument/2006/relationships/hyperlink" Target="https://www.gsa.gov/travel/plan-book/per-diem-rates/mie-breakdown" TargetMode="External"/><Relationship Id="rId1" Type="http://schemas.openxmlformats.org/officeDocument/2006/relationships/hyperlink" Target="https://www.oanda.com/currency-converter/en/?from=EUR&amp;to=USD&amp;amount=1" TargetMode="External"/><Relationship Id="rId4" Type="http://schemas.openxmlformats.org/officeDocument/2006/relationships/hyperlink" Target="https://aoprals.state.gov/web920/per_diem.as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table" Target="../tables/table2.xml"/><Relationship Id="rId2" Type="http://schemas.openxmlformats.org/officeDocument/2006/relationships/hyperlink" Target="https://www.gsa.gov/travel/plan-book/per-diem-rates" TargetMode="External"/><Relationship Id="rId1" Type="http://schemas.openxmlformats.org/officeDocument/2006/relationships/hyperlink" Target="https://aoprals.state.gov/web920/per_diem.asp" TargetMode="External"/><Relationship Id="rId6" Type="http://schemas.openxmlformats.org/officeDocument/2006/relationships/table" Target="../tables/table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table" Target="../tables/table4.xml"/><Relationship Id="rId5" Type="http://schemas.openxmlformats.org/officeDocument/2006/relationships/table" Target="../tables/table8.xml"/><Relationship Id="rId4"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7B471-C434-4852-A27B-EE90C5CB9005}">
  <sheetPr>
    <tabColor theme="9" tint="0.59999389629810485"/>
  </sheetPr>
  <dimension ref="A2:B26"/>
  <sheetViews>
    <sheetView showGridLines="0" workbookViewId="0">
      <selection activeCell="B18" sqref="B18"/>
    </sheetView>
  </sheetViews>
  <sheetFormatPr defaultRowHeight="15" x14ac:dyDescent="0.25"/>
  <cols>
    <col min="2" max="2" width="127.42578125" customWidth="1"/>
  </cols>
  <sheetData>
    <row r="2" spans="1:2" ht="18.75" x14ac:dyDescent="0.3">
      <c r="B2" s="2" t="s">
        <v>67</v>
      </c>
    </row>
    <row r="3" spans="1:2" ht="38.450000000000003" customHeight="1" x14ac:dyDescent="0.25">
      <c r="B3" s="51" t="s">
        <v>68</v>
      </c>
    </row>
    <row r="4" spans="1:2" x14ac:dyDescent="0.25">
      <c r="A4" s="22"/>
      <c r="B4" s="22"/>
    </row>
    <row r="5" spans="1:2" x14ac:dyDescent="0.25">
      <c r="A5" s="22">
        <v>1</v>
      </c>
      <c r="B5" s="54" t="s">
        <v>51</v>
      </c>
    </row>
    <row r="6" spans="1:2" ht="30" x14ac:dyDescent="0.25">
      <c r="A6" s="22">
        <v>2</v>
      </c>
      <c r="B6" s="54" t="s">
        <v>77</v>
      </c>
    </row>
    <row r="7" spans="1:2" ht="60" x14ac:dyDescent="0.25">
      <c r="A7" s="22">
        <v>3</v>
      </c>
      <c r="B7" s="54" t="s">
        <v>102</v>
      </c>
    </row>
    <row r="8" spans="1:2" ht="30" x14ac:dyDescent="0.25">
      <c r="A8" s="22">
        <v>4</v>
      </c>
      <c r="B8" s="55" t="s">
        <v>52</v>
      </c>
    </row>
    <row r="9" spans="1:2" x14ac:dyDescent="0.25">
      <c r="A9" s="22">
        <v>5</v>
      </c>
      <c r="B9" s="56" t="s">
        <v>53</v>
      </c>
    </row>
    <row r="10" spans="1:2" x14ac:dyDescent="0.25">
      <c r="A10" s="22">
        <v>6</v>
      </c>
      <c r="B10" s="53" t="s">
        <v>56</v>
      </c>
    </row>
    <row r="11" spans="1:2" x14ac:dyDescent="0.25">
      <c r="A11" s="22">
        <v>7</v>
      </c>
      <c r="B11" s="52" t="s">
        <v>55</v>
      </c>
    </row>
    <row r="12" spans="1:2" ht="30" x14ac:dyDescent="0.25">
      <c r="A12" s="22">
        <v>8</v>
      </c>
      <c r="B12" s="52" t="s">
        <v>54</v>
      </c>
    </row>
    <row r="13" spans="1:2" ht="30" x14ac:dyDescent="0.25">
      <c r="A13" s="22">
        <v>9</v>
      </c>
      <c r="B13" s="52" t="s">
        <v>90</v>
      </c>
    </row>
    <row r="14" spans="1:2" x14ac:dyDescent="0.25">
      <c r="A14" s="22">
        <v>10</v>
      </c>
      <c r="B14" s="52" t="s">
        <v>57</v>
      </c>
    </row>
    <row r="15" spans="1:2" ht="45" x14ac:dyDescent="0.25">
      <c r="A15" s="22">
        <v>11</v>
      </c>
      <c r="B15" s="52" t="s">
        <v>58</v>
      </c>
    </row>
    <row r="16" spans="1:2" x14ac:dyDescent="0.25">
      <c r="A16" s="22">
        <v>12</v>
      </c>
      <c r="B16" s="52" t="s">
        <v>59</v>
      </c>
    </row>
    <row r="17" spans="1:2" x14ac:dyDescent="0.25">
      <c r="A17" s="22">
        <v>13</v>
      </c>
      <c r="B17" s="52" t="str">
        <f>CONCATENATE("Enter the number of Miles you are claiming for your personal car (Rate before 1/1/25 is "&amp;MileageRate&amp;"/mile), new rate as of 1/1/25 =&gt; "&amp;MileageRateNew&amp;"/mile).")</f>
        <v>Enter the number of Miles you are claiming for your personal car (Rate before 1/1/25 is 0.67/mile), new rate as of 1/1/25 =&gt; 0.7/mile).</v>
      </c>
    </row>
    <row r="18" spans="1:2" x14ac:dyDescent="0.25">
      <c r="A18" s="22">
        <v>14</v>
      </c>
      <c r="B18" s="52" t="s">
        <v>60</v>
      </c>
    </row>
    <row r="19" spans="1:2" x14ac:dyDescent="0.25">
      <c r="A19" s="22">
        <v>15</v>
      </c>
      <c r="B19" s="52" t="s">
        <v>61</v>
      </c>
    </row>
    <row r="20" spans="1:2" x14ac:dyDescent="0.25">
      <c r="A20" s="22">
        <v>16</v>
      </c>
      <c r="B20" s="52" t="s">
        <v>62</v>
      </c>
    </row>
    <row r="21" spans="1:2" ht="20.100000000000001" customHeight="1" x14ac:dyDescent="0.25">
      <c r="A21" s="22">
        <v>17</v>
      </c>
      <c r="B21" s="54" t="s">
        <v>63</v>
      </c>
    </row>
    <row r="22" spans="1:2" ht="30" x14ac:dyDescent="0.25">
      <c r="A22" s="22">
        <v>18</v>
      </c>
      <c r="B22" s="52" t="s">
        <v>64</v>
      </c>
    </row>
    <row r="23" spans="1:2" x14ac:dyDescent="0.25">
      <c r="A23" s="22"/>
    </row>
    <row r="24" spans="1:2" x14ac:dyDescent="0.25">
      <c r="A24" s="22"/>
    </row>
    <row r="25" spans="1:2" x14ac:dyDescent="0.25">
      <c r="A25" s="22"/>
    </row>
    <row r="26" spans="1:2" x14ac:dyDescent="0.25">
      <c r="A26" s="22"/>
    </row>
  </sheetData>
  <hyperlinks>
    <hyperlink ref="B3" r:id="rId1" display="For conversion rates, refer to OANDA Currency. Converter." xr:uid="{48CC3DB0-73F1-46A6-A897-106603D22C5B}"/>
    <hyperlink ref="B8" r:id="rId2" xr:uid="{CD5D882E-A431-4365-970A-E80674AB183F}"/>
    <hyperlink ref="B9" r:id="rId3" xr:uid="{E69C8169-DE80-40FB-BDDA-C33782A72979}"/>
    <hyperlink ref="B10" r:id="rId4" display="5  Search the Dept of State site for the international M&amp;IE per diem rates. Enter the resulting value in column 3 of the Location table." xr:uid="{C4AAF286-4DFD-45EC-A13D-966A3772FA7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A9237-C82D-4615-8377-E223A0262331}">
  <sheetPr>
    <tabColor theme="7" tint="0.79998168889431442"/>
    <pageSetUpPr fitToPage="1"/>
  </sheetPr>
  <dimension ref="A1:AM29"/>
  <sheetViews>
    <sheetView showGridLines="0" tabSelected="1" zoomScale="90" zoomScaleNormal="90" workbookViewId="0">
      <selection activeCell="N7" sqref="N7"/>
    </sheetView>
  </sheetViews>
  <sheetFormatPr defaultRowHeight="15" x14ac:dyDescent="0.25"/>
  <cols>
    <col min="1" max="1" width="3.28515625" customWidth="1"/>
    <col min="2" max="2" width="20.28515625" customWidth="1"/>
    <col min="3" max="3" width="17.5703125" customWidth="1"/>
    <col min="4" max="4" width="22.5703125" customWidth="1"/>
    <col min="5" max="5" width="7" hidden="1" customWidth="1"/>
    <col min="6" max="6" width="18.28515625" customWidth="1"/>
    <col min="7" max="7" width="10.42578125" customWidth="1"/>
    <col min="8" max="8" width="11.28515625" customWidth="1"/>
    <col min="9" max="9" width="9.85546875" customWidth="1"/>
    <col min="10" max="10" width="9.28515625" customWidth="1"/>
    <col min="11" max="11" width="9.7109375" customWidth="1"/>
    <col min="13" max="13" width="9" customWidth="1"/>
    <col min="14" max="14" width="7.5703125" customWidth="1"/>
    <col min="15" max="15" width="8.5703125" customWidth="1"/>
    <col min="16" max="16" width="9.5703125" customWidth="1"/>
    <col min="17" max="17" width="11.85546875" customWidth="1"/>
    <col min="18" max="18" width="8.7109375" customWidth="1"/>
    <col min="19" max="19" width="7.28515625" hidden="1" customWidth="1"/>
    <col min="20" max="20" width="7.7109375" hidden="1" customWidth="1"/>
    <col min="21" max="21" width="12.5703125" hidden="1" customWidth="1"/>
    <col min="22" max="22" width="9.28515625" hidden="1" customWidth="1"/>
    <col min="23" max="23" width="9" hidden="1" customWidth="1"/>
    <col min="26" max="26" width="8.85546875" hidden="1" customWidth="1"/>
    <col min="27" max="27" width="8" hidden="1" customWidth="1"/>
  </cols>
  <sheetData>
    <row r="1" spans="1:39" ht="30" customHeight="1" x14ac:dyDescent="0.3">
      <c r="B1" s="24" t="s">
        <v>37</v>
      </c>
      <c r="C1" s="2"/>
      <c r="E1" s="2"/>
      <c r="F1" s="2"/>
      <c r="I1" s="1"/>
      <c r="J1" s="1"/>
      <c r="K1" s="1"/>
      <c r="L1" s="1"/>
      <c r="M1" s="1"/>
      <c r="N1" s="1"/>
      <c r="O1" s="1"/>
      <c r="P1" s="1"/>
      <c r="Q1" s="1"/>
      <c r="R1" s="1"/>
      <c r="T1" s="1"/>
      <c r="U1" s="1"/>
      <c r="V1" s="1"/>
      <c r="W1" s="1"/>
      <c r="X1" s="1"/>
    </row>
    <row r="2" spans="1:39" ht="15.95" customHeight="1" x14ac:dyDescent="0.3">
      <c r="B2" s="42">
        <f ca="1">TODAY()</f>
        <v>45960</v>
      </c>
      <c r="C2" s="2"/>
      <c r="E2" s="2"/>
      <c r="F2" s="2"/>
      <c r="I2" s="40"/>
      <c r="J2" s="40"/>
      <c r="K2" s="40"/>
      <c r="L2" s="93" t="s">
        <v>47</v>
      </c>
      <c r="M2" s="93"/>
      <c r="N2" s="93"/>
      <c r="O2" s="93"/>
      <c r="P2" s="93"/>
      <c r="Q2" s="93"/>
      <c r="R2" s="93"/>
      <c r="T2" s="41"/>
      <c r="U2" s="40"/>
      <c r="V2" s="40"/>
      <c r="W2" s="40"/>
      <c r="X2" s="63"/>
      <c r="Y2" s="91"/>
    </row>
    <row r="3" spans="1:39" x14ac:dyDescent="0.25">
      <c r="B3" t="s">
        <v>11</v>
      </c>
      <c r="C3" s="89"/>
      <c r="D3" s="90"/>
      <c r="F3" s="57" t="s">
        <v>65</v>
      </c>
      <c r="G3" s="89"/>
      <c r="H3" s="90"/>
      <c r="J3" s="20"/>
      <c r="K3" s="20"/>
      <c r="L3" s="93"/>
      <c r="M3" s="93"/>
      <c r="N3" s="93"/>
      <c r="O3" s="93"/>
      <c r="P3" s="93"/>
      <c r="Q3" s="93"/>
      <c r="R3" s="93"/>
      <c r="T3" s="21"/>
      <c r="U3" s="20"/>
      <c r="V3" s="20"/>
      <c r="W3" s="20"/>
      <c r="X3" s="63"/>
      <c r="Y3" s="91"/>
    </row>
    <row r="4" spans="1:39" x14ac:dyDescent="0.25">
      <c r="B4" t="s">
        <v>43</v>
      </c>
      <c r="C4" s="89"/>
      <c r="D4" s="90"/>
      <c r="F4" s="57" t="s">
        <v>8</v>
      </c>
      <c r="G4" s="92"/>
      <c r="H4" s="92"/>
      <c r="I4" s="69" t="str">
        <f>IF(AND(ISBLANK(G4)=FALSE,G4&lt;DATE(2024,10,1)),"Claim date exceeds the allowable submission window.","")</f>
        <v/>
      </c>
      <c r="L4" s="63"/>
      <c r="M4" s="63"/>
      <c r="N4" s="63"/>
      <c r="O4" s="63"/>
      <c r="P4" s="63"/>
      <c r="Q4" s="63"/>
      <c r="R4" s="63"/>
      <c r="T4" s="21"/>
      <c r="U4" s="20"/>
      <c r="V4" s="20"/>
      <c r="W4" s="20"/>
      <c r="X4" s="63"/>
      <c r="Y4" s="91"/>
      <c r="Z4" s="20"/>
      <c r="AA4" s="20"/>
      <c r="AB4" s="20"/>
      <c r="AC4" s="20"/>
      <c r="AD4" s="20"/>
      <c r="AE4" s="20"/>
      <c r="AF4" s="20"/>
      <c r="AG4" s="20"/>
      <c r="AH4" s="20"/>
      <c r="AI4" s="20"/>
      <c r="AJ4" s="20"/>
      <c r="AK4" s="20"/>
      <c r="AL4" s="20"/>
      <c r="AM4" s="20"/>
    </row>
    <row r="5" spans="1:39" x14ac:dyDescent="0.25">
      <c r="F5" s="57" t="s">
        <v>7</v>
      </c>
      <c r="G5" s="92"/>
      <c r="H5" s="92"/>
      <c r="T5" s="39"/>
    </row>
    <row r="6" spans="1:39" ht="38.25" x14ac:dyDescent="0.25">
      <c r="B6" s="32" t="s">
        <v>20</v>
      </c>
      <c r="C6" s="76" t="s">
        <v>18</v>
      </c>
      <c r="D6" s="38" t="s">
        <v>45</v>
      </c>
      <c r="E6" t="str">
        <f>IF(AND($G$4&lt;DATEVALUE("10/1/25"),$G$5&gt;=DATEVALUE("10/1/25")),"2024/2025",IF($G$4&lt;DATEVALUE("10/1/25"),"2024","2025"))</f>
        <v>2024</v>
      </c>
      <c r="H6" s="68"/>
      <c r="L6" s="60"/>
      <c r="M6" s="60"/>
      <c r="N6" s="60"/>
      <c r="O6" s="60"/>
      <c r="P6" s="60"/>
      <c r="Q6" s="60"/>
      <c r="R6" s="60"/>
      <c r="X6" s="60"/>
      <c r="Y6" s="60"/>
    </row>
    <row r="7" spans="1:39" ht="14.45" customHeight="1" x14ac:dyDescent="0.25">
      <c r="B7" s="33"/>
      <c r="C7" s="33"/>
      <c r="D7" s="33"/>
      <c r="E7" s="59"/>
      <c r="F7" s="43"/>
      <c r="L7" s="60"/>
      <c r="M7" s="60"/>
      <c r="N7" s="60"/>
      <c r="O7" s="60"/>
      <c r="P7" s="60"/>
      <c r="Q7" s="60"/>
      <c r="R7" s="60"/>
      <c r="X7" s="60"/>
      <c r="Y7" s="60"/>
    </row>
    <row r="8" spans="1:39" x14ac:dyDescent="0.25">
      <c r="B8" s="34"/>
      <c r="C8" s="33"/>
      <c r="D8" s="34"/>
      <c r="E8" s="59"/>
      <c r="F8" s="43"/>
    </row>
    <row r="9" spans="1:39" s="14" customFormat="1" ht="54" customHeight="1" x14ac:dyDescent="0.25">
      <c r="B9" s="35"/>
      <c r="C9" s="33"/>
      <c r="D9" s="35"/>
      <c r="G9" s="15"/>
      <c r="I9" s="20"/>
      <c r="J9" s="20"/>
      <c r="K9" s="20"/>
      <c r="M9"/>
      <c r="N9"/>
      <c r="O9"/>
      <c r="P9"/>
      <c r="U9" s="20"/>
      <c r="V9" s="20"/>
      <c r="W9" s="20"/>
    </row>
    <row r="10" spans="1:39" ht="15.6" customHeight="1" x14ac:dyDescent="0.25">
      <c r="B10" s="35"/>
      <c r="C10" s="33"/>
      <c r="D10" s="34"/>
      <c r="Q10" s="94" t="s">
        <v>66</v>
      </c>
      <c r="R10" s="94"/>
      <c r="X10" s="96">
        <f>SUM($X$13-$Y13)</f>
        <v>0</v>
      </c>
      <c r="Y10" s="96"/>
    </row>
    <row r="11" spans="1:39" ht="14.45" customHeight="1" x14ac:dyDescent="0.25">
      <c r="B11" s="35"/>
      <c r="C11" s="33"/>
      <c r="D11" s="34"/>
      <c r="F11" s="98" t="str">
        <f>IF(AND(_xlfn.DAYS($G$5,$G$4)+1&lt;&gt;(COUNTIF(TblTrvlDetails[Travel Date
required],"&gt;0")),COUNTIF(TblTrvlDetails[Travel Date
required],"&gt;0")),CONCATENATE("Number of days between start and end date (",_xlfn.DAYS($G$5,$G$4),") don't match the number of dates being claimed below (",COUNTIF(TblTrvlDetails[Travel Date
required],"&gt;0"),")"),"")</f>
        <v/>
      </c>
      <c r="G11" s="98"/>
      <c r="H11" s="98"/>
      <c r="I11" s="98"/>
      <c r="J11" s="98"/>
      <c r="K11" s="98"/>
      <c r="L11" s="98"/>
      <c r="M11" s="98"/>
      <c r="N11" s="98"/>
      <c r="O11" s="98"/>
      <c r="P11" s="98"/>
      <c r="Q11" s="95"/>
      <c r="R11" s="95"/>
      <c r="S11" s="62"/>
      <c r="T11" s="62"/>
      <c r="U11" s="62"/>
      <c r="V11" s="62"/>
      <c r="W11" s="62"/>
      <c r="X11" s="97"/>
      <c r="Y11" s="97"/>
    </row>
    <row r="12" spans="1:39" ht="15" customHeight="1" x14ac:dyDescent="0.25">
      <c r="A12" s="23"/>
      <c r="B12" s="36"/>
      <c r="C12" s="37"/>
      <c r="D12" s="37"/>
      <c r="E12" s="37"/>
      <c r="F12" s="37"/>
      <c r="G12" s="37"/>
      <c r="H12" s="37"/>
      <c r="I12" s="37"/>
      <c r="J12" s="37"/>
      <c r="K12" s="37"/>
      <c r="L12" s="37" t="s">
        <v>34</v>
      </c>
      <c r="M12" s="37"/>
      <c r="N12" s="37"/>
      <c r="O12" s="37"/>
      <c r="P12" s="37"/>
      <c r="Q12" s="37"/>
      <c r="R12" s="37"/>
      <c r="S12" s="37"/>
      <c r="T12" s="37"/>
      <c r="U12" s="37"/>
      <c r="V12" s="37"/>
      <c r="W12" s="37"/>
      <c r="X12" s="37"/>
      <c r="Y12" s="37"/>
    </row>
    <row r="13" spans="1:39" ht="33" customHeight="1" x14ac:dyDescent="0.25">
      <c r="B13" s="58" t="s">
        <v>26</v>
      </c>
      <c r="I13" s="86" t="s">
        <v>48</v>
      </c>
      <c r="J13" s="87"/>
      <c r="K13" s="88"/>
      <c r="L13" s="44">
        <f>SUM(TblTrvlDetails[M&amp;IE Total])</f>
        <v>0</v>
      </c>
      <c r="M13" s="44">
        <f>SUM(TblTrvlDetails[Airfare*])</f>
        <v>0</v>
      </c>
      <c r="N13" s="44">
        <f>SUM(TblTrvlDetails[Lodging*])</f>
        <v>0</v>
      </c>
      <c r="O13" s="44">
        <f>SUM(IFERROR(SUMIFS(TblTrvlDetails[Miles*],TblTrvlDetails[Travel Date
required],"&lt;01/01/2025")*(VLOOKUP("Car Mileage",TblTransport[#All],2,FALSE)),0),IFERROR(SUMIFS(TblTrvlDetails[Miles*],TblTrvlDetails[Travel Date
required],"&gt;=01/01/2025")*(VLOOKUP("Car Mileage",TblTransport[#All],3,FALSE)),0))</f>
        <v>0</v>
      </c>
      <c r="P13" s="44">
        <f>SUM(TblTrvlDetails[Ground Transport*])</f>
        <v>0</v>
      </c>
      <c r="Q13" s="44">
        <f>SUM(TblTrvlDetails[Car Rental*])</f>
        <v>0</v>
      </c>
      <c r="R13" s="45">
        <f>SUM(TblTrvlDetails[Business Expense*])</f>
        <v>0</v>
      </c>
      <c r="S13" s="46"/>
      <c r="T13" s="46"/>
      <c r="U13" s="46"/>
      <c r="V13" s="46"/>
      <c r="W13" s="46"/>
      <c r="X13" s="44">
        <f>SUM(L13:R13)</f>
        <v>0</v>
      </c>
      <c r="Y13" s="45">
        <f>SUM(TblTrvlDetails[Advance*])</f>
        <v>0</v>
      </c>
    </row>
    <row r="14" spans="1:39" ht="39" customHeight="1" x14ac:dyDescent="0.25">
      <c r="B14" s="47" t="s">
        <v>16</v>
      </c>
      <c r="C14" s="48" t="s">
        <v>17</v>
      </c>
      <c r="D14" s="48" t="s">
        <v>50</v>
      </c>
      <c r="E14" s="48" t="s">
        <v>23</v>
      </c>
      <c r="F14" s="48" t="s">
        <v>49</v>
      </c>
      <c r="G14" s="49" t="s">
        <v>79</v>
      </c>
      <c r="H14" s="49" t="s">
        <v>36</v>
      </c>
      <c r="I14" s="49" t="s">
        <v>4</v>
      </c>
      <c r="J14" s="49" t="s">
        <v>6</v>
      </c>
      <c r="K14" s="49" t="s">
        <v>5</v>
      </c>
      <c r="L14" s="49" t="s">
        <v>27</v>
      </c>
      <c r="M14" s="49" t="s">
        <v>40</v>
      </c>
      <c r="N14" s="49" t="s">
        <v>41</v>
      </c>
      <c r="O14" s="49" t="s">
        <v>39</v>
      </c>
      <c r="P14" s="49" t="s">
        <v>38</v>
      </c>
      <c r="Q14" s="49" t="s">
        <v>44</v>
      </c>
      <c r="R14" s="49" t="s">
        <v>42</v>
      </c>
      <c r="S14" s="49" t="s">
        <v>24</v>
      </c>
      <c r="T14" s="49" t="s">
        <v>0</v>
      </c>
      <c r="U14" s="49" t="s">
        <v>1</v>
      </c>
      <c r="V14" s="49" t="s">
        <v>2</v>
      </c>
      <c r="W14" s="49" t="s">
        <v>3</v>
      </c>
      <c r="X14" s="50" t="s">
        <v>21</v>
      </c>
      <c r="Y14" s="49" t="s">
        <v>46</v>
      </c>
      <c r="Z14" s="74" t="s">
        <v>87</v>
      </c>
      <c r="AA14" s="49" t="s">
        <v>88</v>
      </c>
    </row>
    <row r="15" spans="1:39" ht="20.45" customHeight="1" x14ac:dyDescent="0.25">
      <c r="B15" s="25"/>
      <c r="C15" s="26"/>
      <c r="D15" s="25"/>
      <c r="E15" s="27" t="str">
        <f>_xlfn.IFNA(IF(VLOOKUP(TblTrvlDetails[[#This Row],[Location]],TblDom[],2,FALSE)&lt;&gt;"International","D",IF(VLOOKUP(TblTrvlDetails[[#This Row],[Location]],TblDom[],2,FALSE)="International","I","")),"")</f>
        <v/>
      </c>
      <c r="F15" s="27">
        <f>IFERROR(
IF(AND(ISBLANK(TblTrvlDetails[[#This Row],[Rate Type]])),0,(
IF((TblTrvlDetails[[#This Row],[Rate Type]])="Not Claiming Per Diem",0,(
IF(AND(TblTrvlDetails[[#This Row],[Rate Type]]=Data!$Z$4,(OR(ISBLANK(TblTrvlDetails[[#This Row],[Location]]),VLOOKUP(TblTrvlDetails[[#This Row],[Location]],TblDom[],2,FALSE)="International"))), VLOOKUP(TblTrvlDetails[[#This Row],[Location]],TblDom[],3,FALSE)*0.75,
IF(AND(TblTrvlDetails[[#This Row],[Rate Type]]=Data!$Z$4,(OR(ISBLANK(TblTrvlDetails[[#This Row],[Location]]),VLOOKUP(TblTrvlDetails[[#This Row],[Location]],TblDom[],2,FALSE)&lt;=IF($G$4&lt;10/1/2025,HighestRate24,HighestRate25)))), VLOOKUP(TblTrvlDetails[[#This Row],[Location]],TblDom[],2,FALSE)*0.75,
IF(AND(TblTrvlDetails[[#This Row],[Rate Type]]=Data!$Z$5,(OR(ISBLANK(TblTrvlDetails[[#This Row],[Location]]),VLOOKUP(TblTrvlDetails[[#This Row],[Location]],TblDom[],2,FALSE)="International"))), VLOOKUP(TblTrvlDetails[[#This Row],[Location]],TblDom[],3,FALSE),
IF(AND(TblTrvlDetails[[#This Row],[Rate Type]]=Data!$Z$5,(OR(ISBLANK(TblTrvlDetails[[#This Row],[Location]]),VLOOKUP(TblTrvlDetails[[#This Row],[Location]],TblDom[],2,FALSE)&lt;=IF($G$4&lt;10/1/2025,HighestRate24,HighestRate25)))), VLOOKUP(TblTrvlDetails[[#This Row],[Location]],TblDom[],2,FALSE))))))))),0)</f>
        <v>0</v>
      </c>
      <c r="G15" s="28"/>
      <c r="H15" s="29">
        <f>0</f>
        <v>0</v>
      </c>
      <c r="I15" s="29">
        <v>0</v>
      </c>
      <c r="J15" s="29">
        <v>0</v>
      </c>
      <c r="K15" s="29">
        <v>0</v>
      </c>
      <c r="L15" s="27">
        <f>IF(TblTrvlDetails[[#This Row],[Travel Date
required]]="Enter Date",0,IF(TblTrvlDetails[[#This Row],[Travel Date
required]]="",0,IF(SUM(TblTrvlDetails[[#This Row],[Breakfast]:[Incidental Expenses]])=0,TblTrvlDetails[[#This Row],[M&amp;IE Rates/Day
based on Rate Type]],IFERROR(SUM(IF(TblTrvlDetails[[#This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15" s="30"/>
      <c r="N15" s="30"/>
      <c r="O15" s="26"/>
      <c r="P15" s="30"/>
      <c r="Q15" s="30"/>
      <c r="R15" s="30"/>
      <c r="S15" s="29">
        <f>IF(ISBLANK(TblTrvlDetails[[#This Row],[Location]]),0,IF(TblTrvlDetails[[#This Row],[D/I]]="I",VLOOKUP(TblTrvlDetails[[#This Row],[Location]],TblDom[],3,FALSE),VLOOKUP(TblTrvlDetails[[#This Row],[Location]],TblDom[],2,FALSE)))</f>
        <v>0</v>
      </c>
      <c r="T15" s="61">
        <f>IF($G15="Enter Date",0,
IF(AND($G15&lt;&gt;"Enter Date",$G15&lt;DATEVALUE("10/1/25")),
IFERROR((
IF(AND(TblTrvlDetails[[#This Row],[D/I]]="I",TblTrvlDetails[[#This Row],[M&amp;IE Rates/Day
based on Rate Type]]&gt;265),TblTrvlDetails[[#This Row],[M&amp;IE Rates/Day
based on Rate Type]]*Data!C4,
IF(AND(TblTrvlDetails[[#This Row],[D/I]]="I",TblTrvlDetails[[#This Row],[M&amp;IE Rates/Day
based on Rate Type]]&lt;=265,TblTrvlDetails[[#This Row],[Rate Type]]=Data!$Z$4),VLOOKUP(TblTrvlDetails[[#This Row],[Full Amt]],TblIntl[],2,FALSE),
IF(AND(TblTrvlDetails[[#This Row],[D/I]]="I",TblTrvlDetails[[#This Row],[M&amp;IE Rates/Day
based on Rate Type]]&lt;=265,TblTrvlDetails[[#This Row],[Rate Type]]=Data!$Z$5),VLOOKUP(TblTrvlDetails[[#This Row],[Full Amt]],TblIntl[],2,FALSE),
IF(AND(TblTrvlDetails[[#This Row],[D/I]]="D",TblTrvlDetails[[#This Row],[Rate Type]]=Data!$Z$4),VLOOKUP(TblTrvlDetails[[#This Row],[Rate Unique '#]],newrate,3,0),
IF(AND(TblTrvlDetails[[#This Row],[D/I]]="D",TblTrvlDetails[[#This Row],[Rate Type]]=Data!$Z$5),VLOOKUP(TblTrvlDetails[[#This Row],[Rate Unique '#]],newrate,3,0),0)))))),0),
IF($G15&gt;=DATEVALUE("10/1/25"),IFERROR((
IF(AND(TblTrvlDetails[[#This Row],[D/I]]="I",TblTrvlDetails[[#This Row],[M&amp;IE Rates/Day
based on Rate Type]]&gt;265),TblTrvlDetails[[#This Row],[M&amp;IE Rates/Day
based on Rate Type]]*Data!C4,
IF(AND(TblTrvlDetails[[#This Row],[D/I]]="I",TblTrvlDetails[[#This Row],[M&amp;IE Rates/Day
based on Rate Type]]&lt;=265,TblTrvlDetails[[#This Row],[Rate Type]]=Data!$Z$4),VLOOKUP(TblTrvlDetails[[#This Row],[Full Amt]],TblIntl2024[],2,FALSE),
IF(AND(TblTrvlDetails[[#This Row],[D/I]]="I",TblTrvlDetails[[#This Row],[M&amp;IE Rates/Day
based on Rate Type]]&lt;=265,TblTrvlDetails[[#This Row],[Rate Type]]=Data!$Z$5),VLOOKUP(TblTrvlDetails[[#This Row],[Full Amt]],TblIntl2024[],2,FALSE),
IF(AND(TblTrvlDetails[[#This Row],[D/I]]="D",TblTrvlDetails[[#This Row],[Rate Type]]=Data!$Z$4),VLOOKUP(TblTrvlDetails[[#This Row],[Rate Unique '#]],newrate,3,0),
IF(AND(TblTrvlDetails[[#This Row],[D/I]]="D",TblTrvlDetails[[#This Row],[Rate Type]]=Data!$Z$5),VLOOKUP(TblTrvlDetails[[#This Row],[Rate Unique '#]],newrate,3,0),0)))))),0))))</f>
        <v>0</v>
      </c>
      <c r="U15" s="61">
        <f>IF($G15="Enter Date",0,
IF(AND($G15&lt;&gt;"Enter Date",$G15&lt;DATEVALUE("10/1/25")),
IFERROR((
IF(AND(TblTrvlDetails[[#This Row],[D/I]]="I",TblTrvlDetails[[#This Row],[M&amp;IE Rates/Day
based on Rate Type]]&gt;265),TblTrvlDetails[[#This Row],[M&amp;IE Rates/Day
based on Rate Type]]*Data!C4,
IF(AND(TblTrvlDetails[[#This Row],[D/I]]="I",TblTrvlDetails[[#This Row],[M&amp;IE Rates/Day
based on Rate Type]]&lt;=265,TblTrvlDetails[[#This Row],[Rate Type]]=Data!$Z$4),VLOOKUP(TblTrvlDetails[[#This Row],[Full Amt]],TblIntl[],3,FALSE),
IF(AND(TblTrvlDetails[[#This Row],[D/I]]="I",TblTrvlDetails[[#This Row],[M&amp;IE Rates/Day
based on Rate Type]]&lt;=265,TblTrvlDetails[[#This Row],[Rate Type]]=Data!$Z$5),VLOOKUP(TblTrvlDetails[[#This Row],[Full Amt]],TblIntl[],3,FALSE),
IF(AND(TblTrvlDetails[[#This Row],[D/I]]="D",TblTrvlDetails[[#This Row],[Rate Type]]=Data!$Z$4),VLOOKUP(TblTrvlDetails[[#This Row],[Rate Unique '#]],newrate,4,0),
IF(AND(TblTrvlDetails[[#This Row],[D/I]]="D",TblTrvlDetails[[#This Row],[Rate Type]]=Data!$Z$5),VLOOKUP(TblTrvlDetails[[#This Row],[Rate Unique '#]],newrate,4,0),0)))))),0),
IF($G15&gt;=DATEVALUE("10/1/25"),IFERROR((
IF(AND(TblTrvlDetails[[#This Row],[D/I]]="I",TblTrvlDetails[[#This Row],[M&amp;IE Rates/Day
based on Rate Type]]&gt;265),TblTrvlDetails[[#This Row],[M&amp;IE Rates/Day
based on Rate Type]]*Data!C4,
IF(AND(TblTrvlDetails[[#This Row],[D/I]]="I",TblTrvlDetails[[#This Row],[M&amp;IE Rates/Day
based on Rate Type]]&lt;=265,TblTrvlDetails[[#This Row],[Rate Type]]=Data!$Z$4),VLOOKUP(TblTrvlDetails[[#This Row],[Full Amt]],TblIntl2024[],3,FALSE),
IF(AND(TblTrvlDetails[[#This Row],[D/I]]="I",TblTrvlDetails[[#This Row],[M&amp;IE Rates/Day
based on Rate Type]]&lt;=265,TblTrvlDetails[[#This Row],[Rate Type]]=Data!$Z$5),VLOOKUP(TblTrvlDetails[[#This Row],[Full Amt]],TblIntl2024[],3,FALSE),
IF(AND(TblTrvlDetails[[#This Row],[D/I]]="D",TblTrvlDetails[[#This Row],[Rate Type]]=Data!$Z$4),VLOOKUP(TblTrvlDetails[[#This Row],[Rate Unique '#]],newrate,4,0),
IF(AND(TblTrvlDetails[[#This Row],[D/I]]="D",TblTrvlDetails[[#This Row],[Rate Type]]=Data!$Z$5),VLOOKUP(TblTrvlDetails[[#This Row],[Rate Unique '#]],newrate,4,0),0)))))),0))))</f>
        <v>0</v>
      </c>
      <c r="V15" s="61">
        <f>IF($G15="Enter Date",0,
IF(AND($G15&lt;&gt;"Enter Date",$G15&lt;DATEVALUE("10/1/25")),
IFERROR((
IF(AND(TblTrvlDetails[[#This Row],[D/I]]="I",TblTrvlDetails[[#This Row],[M&amp;IE Rates/Day
based on Rate Type]]&gt;265),TblTrvlDetails[[#This Row],[M&amp;IE Rates/Day
based on Rate Type]]*Data!C4,
IF(AND(TblTrvlDetails[[#This Row],[D/I]]="I",TblTrvlDetails[[#This Row],[M&amp;IE Rates/Day
based on Rate Type]]&lt;=265,TblTrvlDetails[[#This Row],[Rate Type]]=Data!$Z$4),VLOOKUP(TblTrvlDetails[[#This Row],[Full Amt]],TblIntl[],4,FALSE),
IF(AND(TblTrvlDetails[[#This Row],[D/I]]="I",TblTrvlDetails[[#This Row],[M&amp;IE Rates/Day
based on Rate Type]]&lt;=265,TblTrvlDetails[[#This Row],[Rate Type]]=Data!$Z$5),VLOOKUP(TblTrvlDetails[[#This Row],[Full Amt]],TblIntl[],4,FALSE),
IF(AND(TblTrvlDetails[[#This Row],[D/I]]="D",TblTrvlDetails[[#This Row],[Rate Type]]=Data!$Z$4),VLOOKUP(TblTrvlDetails[[#This Row],[Rate Unique '#]],newrate,5,0),
IF(AND(TblTrvlDetails[[#This Row],[D/I]]="D",TblTrvlDetails[[#This Row],[Rate Type]]=Data!$Z$5),VLOOKUP(TblTrvlDetails[[#This Row],[Rate Unique '#]],newrate,5,0),0)))))),0),
IF($G15&gt;=DATEVALUE("10/1/25"),IFERROR((
IF(AND(TblTrvlDetails[[#This Row],[D/I]]="I",TblTrvlDetails[[#This Row],[M&amp;IE Rates/Day
based on Rate Type]]&gt;265),TblTrvlDetails[[#This Row],[M&amp;IE Rates/Day
based on Rate Type]]*Data!C4,
IF(AND(TblTrvlDetails[[#This Row],[D/I]]="I",TblTrvlDetails[[#This Row],[M&amp;IE Rates/Day
based on Rate Type]]&lt;=265,TblTrvlDetails[[#This Row],[Rate Type]]=Data!$Z$4),VLOOKUP(TblTrvlDetails[[#This Row],[Full Amt]],TblIntl2024[],4,FALSE),
IF(AND(TblTrvlDetails[[#This Row],[D/I]]="I",TblTrvlDetails[[#This Row],[M&amp;IE Rates/Day
based on Rate Type]]&lt;=265,TblTrvlDetails[[#This Row],[Rate Type]]=Data!$Z$5),VLOOKUP(TblTrvlDetails[[#This Row],[Full Amt]],TblIntl2024[],4,FALSE),
IF(AND(TblTrvlDetails[[#This Row],[D/I]]="D",TblTrvlDetails[[#This Row],[Rate Type]]=Data!$Z$4),VLOOKUP(TblTrvlDetails[[#This Row],[Rate Unique '#]],newrate,5,0),
IF(AND(TblTrvlDetails[[#This Row],[D/I]]="D",TblTrvlDetails[[#This Row],[Rate Type]]=Data!$Z$5),VLOOKUP(TblTrvlDetails[[#This Row],[Rate Unique '#]],newrate,5,0),0)))))),0))))</f>
        <v>0</v>
      </c>
      <c r="W15" s="27">
        <f>IF($G15="Enter Date",0,
IF(AND($G15&lt;&gt;"Enter Date",$G15&lt;DATEVALUE("10/1/25")),
IFERROR((
IF(AND(TblTrvlDetails[[#This Row],[D/I]]="I",TblTrvlDetails[[#This Row],[M&amp;IE Rates/Day
based on Rate Type]]&gt;265),TblTrvlDetails[[#This Row],[M&amp;IE Rates/Day
based on Rate Type]]*Data!C4,
IF(AND(TblTrvlDetails[[#This Row],[D/I]]="I",TblTrvlDetails[[#This Row],[M&amp;IE Rates/Day
based on Rate Type]]&lt;=265,TblTrvlDetails[[#This Row],[Rate Type]]=Data!$Z$4),VLOOKUP(TblTrvlDetails[[#This Row],[Full Amt]],TblIntl[],5,FALSE),
IF(AND(TblTrvlDetails[[#This Row],[D/I]]="I",TblTrvlDetails[[#This Row],[M&amp;IE Rates/Day
based on Rate Type]]&lt;=265,TblTrvlDetails[[#This Row],[Rate Type]]=Data!$Z$5),VLOOKUP(TblTrvlDetails[[#This Row],[Full Amt]],TblIntl[],5,FALSE),
IF(AND(TblTrvlDetails[[#This Row],[D/I]]="D",TblTrvlDetails[[#This Row],[Rate Type]]=Data!$Z$4),VLOOKUP(TblTrvlDetails[[#This Row],[Rate Unique '#]],newrate,6,0),
IF(AND(TblTrvlDetails[[#This Row],[D/I]]="D",TblTrvlDetails[[#This Row],[Rate Type]]=Data!$Z$5),VLOOKUP(TblTrvlDetails[[#This Row],[Rate Unique '#]],newrate,6,0),0)))))),0),
IF($G15&gt;=DATEVALUE("10/1/25"),IFERROR((
IF(AND(TblTrvlDetails[[#This Row],[D/I]]="I",TblTrvlDetails[[#This Row],[M&amp;IE Rates/Day
based on Rate Type]]&gt;265),TblTrvlDetails[[#This Row],[M&amp;IE Rates/Day
based on Rate Type]]*Data!C4,
IF(AND(TblTrvlDetails[[#This Row],[D/I]]="I",TblTrvlDetails[[#This Row],[M&amp;IE Rates/Day
based on Rate Type]]&lt;=265,TblTrvlDetails[[#This Row],[Rate Type]]=Data!$Z$4),VLOOKUP(TblTrvlDetails[[#This Row],[Full Amt]],TblIntl2024[],5,FALSE),
IF(AND(TblTrvlDetails[[#This Row],[D/I]]="I",TblTrvlDetails[[#This Row],[M&amp;IE Rates/Day
based on Rate Type]]&lt;=265,TblTrvlDetails[[#This Row],[Rate Type]]=Data!$Z$5),VLOOKUP(TblTrvlDetails[[#This Row],[Full Amt]],TblIntl2024[],5,FALSE),
IF(AND(TblTrvlDetails[[#This Row],[D/I]]="D",TblTrvlDetails[[#This Row],[Rate Type]]=Data!$Z$4),VLOOKUP(TblTrvlDetails[[#This Row],[Rate Unique '#]],newrate,6,0),
IF(AND(TblTrvlDetails[[#This Row],[D/I]]="D",TblTrvlDetails[[#This Row],[Rate Type]]=Data!$Z$5),VLOOKUP(TblTrvlDetails[[#This Row],[Rate Unique '#]],newrate,6,0),0)))))),0))))</f>
        <v>0</v>
      </c>
      <c r="X15" s="31">
        <f>SUM(IFERROR(SUMIFS(TblTrvlDetails[[#This Row],[Miles*]],TblTrvlDetails[[#This Row],[Travel Date
required]],"&lt;01/01/2025")*(VLOOKUP("Car Mileage",TblTransport[#All],2,FALSE)),0),IFERROR(SUMIFS(TblTrvlDetails[[#This Row],[Miles*]],TblTrvlDetails[[#This Row],[Travel Date
required]],"&gt;=01/01/2025")*(VLOOKUP("Car Mileage",TblTransport[#All],3,FALSE)),0),TblTrvlDetails[[#This Row],[M&amp;IE Total]:[Lodging*]],TblTrvlDetails[[#This Row],[Ground Transport*]:[Business Expense*]])</f>
        <v>0</v>
      </c>
      <c r="Y15" s="75">
        <v>0</v>
      </c>
      <c r="Z15" s="71">
        <f>IF(MONTH(TblTrvlDetails[[#This Row],[Travel Date
required]])&lt;10,YEAR(TblTrvlDetails[[#This Row],[Travel Date
required]]),YEAR(TblTrvlDetails[[#This Row],[Travel Date
required]])+1)</f>
        <v>1900</v>
      </c>
      <c r="AA15" s="72" t="str">
        <f>CONCATENATE(TblTrvlDetails[[#This Row],[GSA FY]],TblTrvlDetails[[#This Row],[Full Amt]])</f>
        <v>19000</v>
      </c>
    </row>
    <row r="16" spans="1:39" ht="20.45" customHeight="1" x14ac:dyDescent="0.25">
      <c r="B16" s="25"/>
      <c r="C16" s="26"/>
      <c r="D16" s="25"/>
      <c r="E16" s="27" t="str">
        <f>_xlfn.IFNA(IF(VLOOKUP(TblTrvlDetails[[#This Row],[Location]],TblDom[],2,FALSE)&lt;&gt;"International","D",IF(VLOOKUP(TblTrvlDetails[[#This Row],[Location]],TblDom[],2,FALSE)="International","I","")),"")</f>
        <v/>
      </c>
      <c r="F16" s="27">
        <f>IFERROR(
IF(AND(ISBLANK(TblTrvlDetails[[#This Row],[Rate Type]])),0,(
IF((TblTrvlDetails[[#This Row],[Rate Type]])="Not Claiming Per Diem",0,(
IF(AND(TblTrvlDetails[[#This Row],[Rate Type]]=Data!$Z$4,(OR(ISBLANK(TblTrvlDetails[[#This Row],[Location]]),VLOOKUP(TblTrvlDetails[[#This Row],[Location]],TblDom[],2,FALSE)="International"))), VLOOKUP(TblTrvlDetails[[#This Row],[Location]],TblDom[],3,FALSE)*0.75,
IF(AND(TblTrvlDetails[[#This Row],[Rate Type]]=Data!$Z$4,(OR(ISBLANK(TblTrvlDetails[[#This Row],[Location]]),VLOOKUP(TblTrvlDetails[[#This Row],[Location]],TblDom[],2,FALSE)&lt;=IF($G$4&lt;10/1/2025,HighestRate24,HighestRate25)))), VLOOKUP(TblTrvlDetails[[#This Row],[Location]],TblDom[],2,FALSE)*0.75,
IF(AND(TblTrvlDetails[[#This Row],[Rate Type]]=Data!$Z$5,(OR(ISBLANK(TblTrvlDetails[[#This Row],[Location]]),VLOOKUP(TblTrvlDetails[[#This Row],[Location]],TblDom[],2,FALSE)="International"))), VLOOKUP(TblTrvlDetails[[#This Row],[Location]],TblDom[],3,FALSE),
IF(AND(TblTrvlDetails[[#This Row],[Rate Type]]=Data!$Z$5,(OR(ISBLANK(TblTrvlDetails[[#This Row],[Location]]),VLOOKUP(TblTrvlDetails[[#This Row],[Location]],TblDom[],2,FALSE)&lt;=IF($G$4&lt;10/1/2025,HighestRate24,HighestRate25)))), VLOOKUP(TblTrvlDetails[[#This Row],[Location]],TblDom[],2,FALSE))))))))),0)</f>
        <v>0</v>
      </c>
      <c r="G16" s="28"/>
      <c r="H16" s="29">
        <f>0</f>
        <v>0</v>
      </c>
      <c r="I16" s="29">
        <v>0</v>
      </c>
      <c r="J16" s="29">
        <v>0</v>
      </c>
      <c r="K16" s="29">
        <v>0</v>
      </c>
      <c r="L16" s="27">
        <f>IF(TblTrvlDetails[[#This Row],[Travel Date
required]]="Enter Date",0,IF(TblTrvlDetails[[#This Row],[Travel Date
required]]="",0,IF(SUM(TblTrvlDetails[[#This Row],[Breakfast]:[Incidental Expenses]])=0,TblTrvlDetails[[#This Row],[M&amp;IE Rates/Day
based on Rate Type]],IFERROR(SUM(IF(TblTrvlDetails[[#This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16" s="30"/>
      <c r="N16" s="30"/>
      <c r="O16" s="26"/>
      <c r="P16" s="30"/>
      <c r="Q16" s="30"/>
      <c r="R16" s="30"/>
      <c r="S16" s="29">
        <f>IF(ISBLANK(TblTrvlDetails[[#This Row],[Location]]),0,IF(TblTrvlDetails[[#This Row],[D/I]]="I",VLOOKUP(TblTrvlDetails[[#This Row],[Location]],TblDom[],3,FALSE),VLOOKUP(TblTrvlDetails[[#This Row],[Location]],TblDom[],2,FALSE)))</f>
        <v>0</v>
      </c>
      <c r="T16" s="61">
        <f>IF($G16="Enter Date",0,
IF(AND($G16&lt;&gt;"Enter Date",$G16&lt;DATEVALUE("10/1/25")),
IFERROR((
IF(AND(TblTrvlDetails[[#This Row],[D/I]]="I",TblTrvlDetails[[#This Row],[M&amp;IE Rates/Day
based on Rate Type]]&gt;265),TblTrvlDetails[[#This Row],[M&amp;IE Rates/Day
based on Rate Type]]*Data!C5,
IF(AND(TblTrvlDetails[[#This Row],[D/I]]="I",TblTrvlDetails[[#This Row],[M&amp;IE Rates/Day
based on Rate Type]]&lt;=265,TblTrvlDetails[[#This Row],[Rate Type]]=Data!$Z$4),VLOOKUP(TblTrvlDetails[[#This Row],[Full Amt]],TblIntl[],2,FALSE),
IF(AND(TblTrvlDetails[[#This Row],[D/I]]="I",TblTrvlDetails[[#This Row],[M&amp;IE Rates/Day
based on Rate Type]]&lt;=265,TblTrvlDetails[[#This Row],[Rate Type]]=Data!$Z$5),VLOOKUP(TblTrvlDetails[[#This Row],[Full Amt]],TblIntl[],2,FALSE),
IF(AND(TblTrvlDetails[[#This Row],[D/I]]="D",TblTrvlDetails[[#This Row],[Rate Type]]=Data!$Z$4),VLOOKUP(TblTrvlDetails[[#This Row],[Rate Unique '#]],newrate,3,0),
IF(AND(TblTrvlDetails[[#This Row],[D/I]]="D",TblTrvlDetails[[#This Row],[Rate Type]]=Data!$Z$5),VLOOKUP(TblTrvlDetails[[#This Row],[Rate Unique '#]],newrate,3,0),0)))))),0),
IF($G16&gt;=DATEVALUE("10/1/25"),IFERROR((
IF(AND(TblTrvlDetails[[#This Row],[D/I]]="I",TblTrvlDetails[[#This Row],[M&amp;IE Rates/Day
based on Rate Type]]&gt;265),TblTrvlDetails[[#This Row],[M&amp;IE Rates/Day
based on Rate Type]]*Data!C5,
IF(AND(TblTrvlDetails[[#This Row],[D/I]]="I",TblTrvlDetails[[#This Row],[M&amp;IE Rates/Day
based on Rate Type]]&lt;=265,TblTrvlDetails[[#This Row],[Rate Type]]=Data!$Z$4),VLOOKUP(TblTrvlDetails[[#This Row],[Full Amt]],TblIntl2024[],2,FALSE),
IF(AND(TblTrvlDetails[[#This Row],[D/I]]="I",TblTrvlDetails[[#This Row],[M&amp;IE Rates/Day
based on Rate Type]]&lt;=265,TblTrvlDetails[[#This Row],[Rate Type]]=Data!$Z$5),VLOOKUP(TblTrvlDetails[[#This Row],[Full Amt]],TblIntl2024[],2,FALSE),
IF(AND(TblTrvlDetails[[#This Row],[D/I]]="D",TblTrvlDetails[[#This Row],[Rate Type]]=Data!$Z$4),VLOOKUP(TblTrvlDetails[[#This Row],[Rate Unique '#]],newrate,3,0),
IF(AND(TblTrvlDetails[[#This Row],[D/I]]="D",TblTrvlDetails[[#This Row],[Rate Type]]=Data!$Z$5),VLOOKUP(TblTrvlDetails[[#This Row],[Rate Unique '#]],newrate,3,0),0)))))),0))))</f>
        <v>0</v>
      </c>
      <c r="U16" s="61">
        <f>IF($G16="Enter Date",0,
IF(AND($G16&lt;&gt;"Enter Date",$G16&lt;DATEVALUE("10/1/25")),
IFERROR((
IF(AND(TblTrvlDetails[[#This Row],[D/I]]="I",TblTrvlDetails[[#This Row],[M&amp;IE Rates/Day
based on Rate Type]]&gt;265),TblTrvlDetails[[#This Row],[M&amp;IE Rates/Day
based on Rate Type]]*Data!C5,
IF(AND(TblTrvlDetails[[#This Row],[D/I]]="I",TblTrvlDetails[[#This Row],[M&amp;IE Rates/Day
based on Rate Type]]&lt;=265,TblTrvlDetails[[#This Row],[Rate Type]]=Data!$Z$4),VLOOKUP(TblTrvlDetails[[#This Row],[Full Amt]],TblIntl[],3,FALSE),
IF(AND(TblTrvlDetails[[#This Row],[D/I]]="I",TblTrvlDetails[[#This Row],[M&amp;IE Rates/Day
based on Rate Type]]&lt;=265,TblTrvlDetails[[#This Row],[Rate Type]]=Data!$Z$5),VLOOKUP(TblTrvlDetails[[#This Row],[Full Amt]],TblIntl[],3,FALSE),
IF(AND(TblTrvlDetails[[#This Row],[D/I]]="D",TblTrvlDetails[[#This Row],[Rate Type]]=Data!$Z$4),VLOOKUP(TblTrvlDetails[[#This Row],[Rate Unique '#]],newrate,4,0),
IF(AND(TblTrvlDetails[[#This Row],[D/I]]="D",TblTrvlDetails[[#This Row],[Rate Type]]=Data!$Z$5),VLOOKUP(TblTrvlDetails[[#This Row],[Rate Unique '#]],newrate,4,0),0)))))),0),
IF($G16&gt;=DATEVALUE("10/1/25"),IFERROR((
IF(AND(TblTrvlDetails[[#This Row],[D/I]]="I",TblTrvlDetails[[#This Row],[M&amp;IE Rates/Day
based on Rate Type]]&gt;265),TblTrvlDetails[[#This Row],[M&amp;IE Rates/Day
based on Rate Type]]*Data!C5,
IF(AND(TblTrvlDetails[[#This Row],[D/I]]="I",TblTrvlDetails[[#This Row],[M&amp;IE Rates/Day
based on Rate Type]]&lt;=265,TblTrvlDetails[[#This Row],[Rate Type]]=Data!$Z$4),VLOOKUP(TblTrvlDetails[[#This Row],[Full Amt]],TblIntl2024[],3,FALSE),
IF(AND(TblTrvlDetails[[#This Row],[D/I]]="I",TblTrvlDetails[[#This Row],[M&amp;IE Rates/Day
based on Rate Type]]&lt;=265,TblTrvlDetails[[#This Row],[Rate Type]]=Data!$Z$5),VLOOKUP(TblTrvlDetails[[#This Row],[Full Amt]],TblIntl2024[],3,FALSE),
IF(AND(TblTrvlDetails[[#This Row],[D/I]]="D",TblTrvlDetails[[#This Row],[Rate Type]]=Data!$Z$4),VLOOKUP(TblTrvlDetails[[#This Row],[Rate Unique '#]],newrate,4,0),
IF(AND(TblTrvlDetails[[#This Row],[D/I]]="D",TblTrvlDetails[[#This Row],[Rate Type]]=Data!$Z$5),VLOOKUP(TblTrvlDetails[[#This Row],[Rate Unique '#]],newrate,4,0),0)))))),0))))</f>
        <v>0</v>
      </c>
      <c r="V16" s="61">
        <f>IF($G16="Enter Date",0,
IF(AND($G16&lt;&gt;"Enter Date",$G16&lt;DATEVALUE("10/1/25")),
IFERROR((
IF(AND(TblTrvlDetails[[#This Row],[D/I]]="I",TblTrvlDetails[[#This Row],[M&amp;IE Rates/Day
based on Rate Type]]&gt;265),TblTrvlDetails[[#This Row],[M&amp;IE Rates/Day
based on Rate Type]]*Data!C5,
IF(AND(TblTrvlDetails[[#This Row],[D/I]]="I",TblTrvlDetails[[#This Row],[M&amp;IE Rates/Day
based on Rate Type]]&lt;=265,TblTrvlDetails[[#This Row],[Rate Type]]=Data!$Z$4),VLOOKUP(TblTrvlDetails[[#This Row],[Full Amt]],TblIntl[],4,FALSE),
IF(AND(TblTrvlDetails[[#This Row],[D/I]]="I",TblTrvlDetails[[#This Row],[M&amp;IE Rates/Day
based on Rate Type]]&lt;=265,TblTrvlDetails[[#This Row],[Rate Type]]=Data!$Z$5),VLOOKUP(TblTrvlDetails[[#This Row],[Full Amt]],TblIntl[],4,FALSE),
IF(AND(TblTrvlDetails[[#This Row],[D/I]]="D",TblTrvlDetails[[#This Row],[Rate Type]]=Data!$Z$4),VLOOKUP(TblTrvlDetails[[#This Row],[Rate Unique '#]],newrate,5,0),
IF(AND(TblTrvlDetails[[#This Row],[D/I]]="D",TblTrvlDetails[[#This Row],[Rate Type]]=Data!$Z$5),VLOOKUP(TblTrvlDetails[[#This Row],[Rate Unique '#]],newrate,5,0),0)))))),0),
IF($G16&gt;=DATEVALUE("10/1/25"),IFERROR((
IF(AND(TblTrvlDetails[[#This Row],[D/I]]="I",TblTrvlDetails[[#This Row],[M&amp;IE Rates/Day
based on Rate Type]]&gt;265),TblTrvlDetails[[#This Row],[M&amp;IE Rates/Day
based on Rate Type]]*Data!C5,
IF(AND(TblTrvlDetails[[#This Row],[D/I]]="I",TblTrvlDetails[[#This Row],[M&amp;IE Rates/Day
based on Rate Type]]&lt;=265,TblTrvlDetails[[#This Row],[Rate Type]]=Data!$Z$4),VLOOKUP(TblTrvlDetails[[#This Row],[Full Amt]],TblIntl2024[],4,FALSE),
IF(AND(TblTrvlDetails[[#This Row],[D/I]]="I",TblTrvlDetails[[#This Row],[M&amp;IE Rates/Day
based on Rate Type]]&lt;=265,TblTrvlDetails[[#This Row],[Rate Type]]=Data!$Z$5),VLOOKUP(TblTrvlDetails[[#This Row],[Full Amt]],TblIntl2024[],4,FALSE),
IF(AND(TblTrvlDetails[[#This Row],[D/I]]="D",TblTrvlDetails[[#This Row],[Rate Type]]=Data!$Z$4),VLOOKUP(TblTrvlDetails[[#This Row],[Rate Unique '#]],newrate,5,0),
IF(AND(TblTrvlDetails[[#This Row],[D/I]]="D",TblTrvlDetails[[#This Row],[Rate Type]]=Data!$Z$5),VLOOKUP(TblTrvlDetails[[#This Row],[Rate Unique '#]],newrate,5,0),0)))))),0))))</f>
        <v>0</v>
      </c>
      <c r="W16" s="27">
        <f>IF($G16="Enter Date",0,
IF(AND($G16&lt;&gt;"Enter Date",$G16&lt;DATEVALUE("10/1/25")),
IFERROR((
IF(AND(TblTrvlDetails[[#This Row],[D/I]]="I",TblTrvlDetails[[#This Row],[M&amp;IE Rates/Day
based on Rate Type]]&gt;265),TblTrvlDetails[[#This Row],[M&amp;IE Rates/Day
based on Rate Type]]*Data!C5,
IF(AND(TblTrvlDetails[[#This Row],[D/I]]="I",TblTrvlDetails[[#This Row],[M&amp;IE Rates/Day
based on Rate Type]]&lt;=265,TblTrvlDetails[[#This Row],[Rate Type]]=Data!$Z$4),VLOOKUP(TblTrvlDetails[[#This Row],[Full Amt]],TblIntl[],5,FALSE),
IF(AND(TblTrvlDetails[[#This Row],[D/I]]="I",TblTrvlDetails[[#This Row],[M&amp;IE Rates/Day
based on Rate Type]]&lt;=265,TblTrvlDetails[[#This Row],[Rate Type]]=Data!$Z$5),VLOOKUP(TblTrvlDetails[[#This Row],[Full Amt]],TblIntl[],5,FALSE),
IF(AND(TblTrvlDetails[[#This Row],[D/I]]="D",TblTrvlDetails[[#This Row],[Rate Type]]=Data!$Z$4),VLOOKUP(TblTrvlDetails[[#This Row],[Rate Unique '#]],newrate,6,0),
IF(AND(TblTrvlDetails[[#This Row],[D/I]]="D",TblTrvlDetails[[#This Row],[Rate Type]]=Data!$Z$5),VLOOKUP(TblTrvlDetails[[#This Row],[Rate Unique '#]],newrate,6,0),0)))))),0),
IF($G16&gt;=DATEVALUE("10/1/25"),IFERROR((
IF(AND(TblTrvlDetails[[#This Row],[D/I]]="I",TblTrvlDetails[[#This Row],[M&amp;IE Rates/Day
based on Rate Type]]&gt;265),TblTrvlDetails[[#This Row],[M&amp;IE Rates/Day
based on Rate Type]]*Data!C5,
IF(AND(TblTrvlDetails[[#This Row],[D/I]]="I",TblTrvlDetails[[#This Row],[M&amp;IE Rates/Day
based on Rate Type]]&lt;=265,TblTrvlDetails[[#This Row],[Rate Type]]=Data!$Z$4),VLOOKUP(TblTrvlDetails[[#This Row],[Full Amt]],TblIntl2024[],5,FALSE),
IF(AND(TblTrvlDetails[[#This Row],[D/I]]="I",TblTrvlDetails[[#This Row],[M&amp;IE Rates/Day
based on Rate Type]]&lt;=265,TblTrvlDetails[[#This Row],[Rate Type]]=Data!$Z$5),VLOOKUP(TblTrvlDetails[[#This Row],[Full Amt]],TblIntl2024[],5,FALSE),
IF(AND(TblTrvlDetails[[#This Row],[D/I]]="D",TblTrvlDetails[[#This Row],[Rate Type]]=Data!$Z$4),VLOOKUP(TblTrvlDetails[[#This Row],[Rate Unique '#]],newrate,6,0),
IF(AND(TblTrvlDetails[[#This Row],[D/I]]="D",TblTrvlDetails[[#This Row],[Rate Type]]=Data!$Z$5),VLOOKUP(TblTrvlDetails[[#This Row],[Rate Unique '#]],newrate,6,0),0)))))),0))))</f>
        <v>0</v>
      </c>
      <c r="X16" s="31">
        <f>SUM(IFERROR(SUMIFS(TblTrvlDetails[[#This Row],[Miles*]],TblTrvlDetails[[#This Row],[Travel Date
required]],"&lt;01/01/2025")*(VLOOKUP("Car Mileage",TblTransport[#All],2,FALSE)),0),IFERROR(SUMIFS(TblTrvlDetails[[#This Row],[Miles*]],TblTrvlDetails[[#This Row],[Travel Date
required]],"&gt;=01/01/2025")*(VLOOKUP("Car Mileage",TblTransport[#All],3,FALSE)),0),TblTrvlDetails[[#This Row],[M&amp;IE Total]:[Lodging*]],TblTrvlDetails[[#This Row],[Ground Transport*]:[Business Expense*]])</f>
        <v>0</v>
      </c>
      <c r="Y16" s="75">
        <v>0</v>
      </c>
      <c r="Z16" s="71">
        <f>IF(MONTH(TblTrvlDetails[[#This Row],[Travel Date
required]])&lt;10,YEAR(TblTrvlDetails[[#This Row],[Travel Date
required]]),YEAR(TblTrvlDetails[[#This Row],[Travel Date
required]])+1)</f>
        <v>1900</v>
      </c>
      <c r="AA16" s="72" t="str">
        <f>CONCATENATE(TblTrvlDetails[[#This Row],[GSA FY]],TblTrvlDetails[[#This Row],[Full Amt]])</f>
        <v>19000</v>
      </c>
    </row>
    <row r="17" spans="2:27" ht="20.45" customHeight="1" x14ac:dyDescent="0.25">
      <c r="B17" s="25"/>
      <c r="C17" s="26"/>
      <c r="D17" s="25"/>
      <c r="E17" s="27" t="str">
        <f>_xlfn.IFNA(IF(VLOOKUP(TblTrvlDetails[[#This Row],[Location]],TblDom[],2,FALSE)&lt;&gt;"International","D",IF(VLOOKUP(TblTrvlDetails[[#This Row],[Location]],TblDom[],2,FALSE)="International","I","")),"")</f>
        <v/>
      </c>
      <c r="F17" s="27">
        <f>IFERROR(
IF(AND(ISBLANK(TblTrvlDetails[[#This Row],[Rate Type]])),0,(
IF((TblTrvlDetails[[#This Row],[Rate Type]])="Not Claiming Per Diem",0,(
IF(AND(TblTrvlDetails[[#This Row],[Rate Type]]=Data!$Z$4,(OR(ISBLANK(TblTrvlDetails[[#This Row],[Location]]),VLOOKUP(TblTrvlDetails[[#This Row],[Location]],TblDom[],2,FALSE)="International"))), VLOOKUP(TblTrvlDetails[[#This Row],[Location]],TblDom[],3,FALSE)*0.75,
IF(AND(TblTrvlDetails[[#This Row],[Rate Type]]=Data!$Z$4,(OR(ISBLANK(TblTrvlDetails[[#This Row],[Location]]),VLOOKUP(TblTrvlDetails[[#This Row],[Location]],TblDom[],2,FALSE)&lt;=IF($G$4&lt;10/1/2025,HighestRate24,HighestRate25)))), VLOOKUP(TblTrvlDetails[[#This Row],[Location]],TblDom[],2,FALSE)*0.75,
IF(AND(TblTrvlDetails[[#This Row],[Rate Type]]=Data!$Z$5,(OR(ISBLANK(TblTrvlDetails[[#This Row],[Location]]),VLOOKUP(TblTrvlDetails[[#This Row],[Location]],TblDom[],2,FALSE)="International"))), VLOOKUP(TblTrvlDetails[[#This Row],[Location]],TblDom[],3,FALSE),
IF(AND(TblTrvlDetails[[#This Row],[Rate Type]]=Data!$Z$5,(OR(ISBLANK(TblTrvlDetails[[#This Row],[Location]]),VLOOKUP(TblTrvlDetails[[#This Row],[Location]],TblDom[],2,FALSE)&lt;=IF($G$4&lt;10/1/2025,HighestRate24,HighestRate25)))), VLOOKUP(TblTrvlDetails[[#This Row],[Location]],TblDom[],2,FALSE))))))))),0)</f>
        <v>0</v>
      </c>
      <c r="G17" s="28" t="str">
        <f>IF(ISBLANK(TblTrvlDetails[[#This Row],[Rate Type]])=TRUE,"","Enter Date")</f>
        <v/>
      </c>
      <c r="H17" s="29">
        <f>0</f>
        <v>0</v>
      </c>
      <c r="I17" s="29">
        <v>0</v>
      </c>
      <c r="J17" s="29">
        <v>0</v>
      </c>
      <c r="K17" s="29">
        <v>0</v>
      </c>
      <c r="L17" s="27">
        <f>IF(TblTrvlDetails[[#This Row],[Travel Date
required]]="Enter Date",0,IF(TblTrvlDetails[[#This Row],[Travel Date
required]]="",0,IF(SUM(TblTrvlDetails[[#This Row],[Breakfast]:[Incidental Expenses]])=0,TblTrvlDetails[[#This Row],[M&amp;IE Rates/Day
based on Rate Type]],IFERROR(SUM(IF(TblTrvlDetails[[#This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17" s="30"/>
      <c r="N17" s="30"/>
      <c r="O17" s="26"/>
      <c r="P17" s="30"/>
      <c r="Q17" s="30"/>
      <c r="R17" s="30"/>
      <c r="S17" s="29">
        <f>IF(ISBLANK(TblTrvlDetails[[#This Row],[Location]]),0,IF(TblTrvlDetails[[#This Row],[D/I]]="I",VLOOKUP(TblTrvlDetails[[#This Row],[Location]],TblDom[],3,FALSE),VLOOKUP(TblTrvlDetails[[#This Row],[Location]],TblDom[],2,FALSE)))</f>
        <v>0</v>
      </c>
      <c r="T17" s="61">
        <f>IF($G17="Enter Date",0,
IF(AND($G17&lt;&gt;"Enter Date",$G17&lt;DATEVALUE("10/1/25")),
IFERROR((
IF(AND(TblTrvlDetails[[#This Row],[D/I]]="I",TblTrvlDetails[[#This Row],[M&amp;IE Rates/Day
based on Rate Type]]&gt;265),TblTrvlDetails[[#This Row],[M&amp;IE Rates/Day
based on Rate Type]]*Data!C6,
IF(AND(TblTrvlDetails[[#This Row],[D/I]]="I",TblTrvlDetails[[#This Row],[M&amp;IE Rates/Day
based on Rate Type]]&lt;=265,TblTrvlDetails[[#This Row],[Rate Type]]=Data!$Z$4),VLOOKUP(TblTrvlDetails[[#This Row],[Full Amt]],TblIntl[],2,FALSE),
IF(AND(TblTrvlDetails[[#This Row],[D/I]]="I",TblTrvlDetails[[#This Row],[M&amp;IE Rates/Day
based on Rate Type]]&lt;=265,TblTrvlDetails[[#This Row],[Rate Type]]=Data!$Z$5),VLOOKUP(TblTrvlDetails[[#This Row],[Full Amt]],TblIntl[],2,FALSE),
IF(AND(TblTrvlDetails[[#This Row],[D/I]]="D",TblTrvlDetails[[#This Row],[Rate Type]]=Data!$Z$4),VLOOKUP(TblTrvlDetails[[#This Row],[Rate Unique '#]],newrate,3,0),
IF(AND(TblTrvlDetails[[#This Row],[D/I]]="D",TblTrvlDetails[[#This Row],[Rate Type]]=Data!$Z$5),VLOOKUP(TblTrvlDetails[[#This Row],[Rate Unique '#]],newrate,3,0),0)))))),0),
IF($G17&gt;=DATEVALUE("10/1/25"),IFERROR((
IF(AND(TblTrvlDetails[[#This Row],[D/I]]="I",TblTrvlDetails[[#This Row],[M&amp;IE Rates/Day
based on Rate Type]]&gt;265),TblTrvlDetails[[#This Row],[M&amp;IE Rates/Day
based on Rate Type]]*Data!C6,
IF(AND(TblTrvlDetails[[#This Row],[D/I]]="I",TblTrvlDetails[[#This Row],[M&amp;IE Rates/Day
based on Rate Type]]&lt;=265,TblTrvlDetails[[#This Row],[Rate Type]]=Data!$Z$4),VLOOKUP(TblTrvlDetails[[#This Row],[Full Amt]],TblIntl2024[],2,FALSE),
IF(AND(TblTrvlDetails[[#This Row],[D/I]]="I",TblTrvlDetails[[#This Row],[M&amp;IE Rates/Day
based on Rate Type]]&lt;=265,TblTrvlDetails[[#This Row],[Rate Type]]=Data!$Z$5),VLOOKUP(TblTrvlDetails[[#This Row],[Full Amt]],TblIntl2024[],2,FALSE),
IF(AND(TblTrvlDetails[[#This Row],[D/I]]="D",TblTrvlDetails[[#This Row],[Rate Type]]=Data!$Z$4),VLOOKUP(TblTrvlDetails[[#This Row],[Rate Unique '#]],newrate,3,0),
IF(AND(TblTrvlDetails[[#This Row],[D/I]]="D",TblTrvlDetails[[#This Row],[Rate Type]]=Data!$Z$5),VLOOKUP(TblTrvlDetails[[#This Row],[Rate Unique '#]],newrate,3,0),0)))))),0))))</f>
        <v>0</v>
      </c>
      <c r="U17" s="61">
        <f>IF($G17="Enter Date",0,
IF(AND($G17&lt;&gt;"Enter Date",$G17&lt;DATEVALUE("10/1/25")),
IFERROR((
IF(AND(TblTrvlDetails[[#This Row],[D/I]]="I",TblTrvlDetails[[#This Row],[M&amp;IE Rates/Day
based on Rate Type]]&gt;265),TblTrvlDetails[[#This Row],[M&amp;IE Rates/Day
based on Rate Type]]*Data!C6,
IF(AND(TblTrvlDetails[[#This Row],[D/I]]="I",TblTrvlDetails[[#This Row],[M&amp;IE Rates/Day
based on Rate Type]]&lt;=265,TblTrvlDetails[[#This Row],[Rate Type]]=Data!$Z$4),VLOOKUP(TblTrvlDetails[[#This Row],[Full Amt]],TblIntl[],3,FALSE),
IF(AND(TblTrvlDetails[[#This Row],[D/I]]="I",TblTrvlDetails[[#This Row],[M&amp;IE Rates/Day
based on Rate Type]]&lt;=265,TblTrvlDetails[[#This Row],[Rate Type]]=Data!$Z$5),VLOOKUP(TblTrvlDetails[[#This Row],[Full Amt]],TblIntl[],3,FALSE),
IF(AND(TblTrvlDetails[[#This Row],[D/I]]="D",TblTrvlDetails[[#This Row],[Rate Type]]=Data!$Z$4),VLOOKUP(TblTrvlDetails[[#This Row],[Rate Unique '#]],newrate,4,0),
IF(AND(TblTrvlDetails[[#This Row],[D/I]]="D",TblTrvlDetails[[#This Row],[Rate Type]]=Data!$Z$5),VLOOKUP(TblTrvlDetails[[#This Row],[Rate Unique '#]],newrate,4,0),0)))))),0),
IF($G17&gt;=DATEVALUE("10/1/25"),IFERROR((
IF(AND(TblTrvlDetails[[#This Row],[D/I]]="I",TblTrvlDetails[[#This Row],[M&amp;IE Rates/Day
based on Rate Type]]&gt;265),TblTrvlDetails[[#This Row],[M&amp;IE Rates/Day
based on Rate Type]]*Data!C6,
IF(AND(TblTrvlDetails[[#This Row],[D/I]]="I",TblTrvlDetails[[#This Row],[M&amp;IE Rates/Day
based on Rate Type]]&lt;=265,TblTrvlDetails[[#This Row],[Rate Type]]=Data!$Z$4),VLOOKUP(TblTrvlDetails[[#This Row],[Full Amt]],TblIntl2024[],3,FALSE),
IF(AND(TblTrvlDetails[[#This Row],[D/I]]="I",TblTrvlDetails[[#This Row],[M&amp;IE Rates/Day
based on Rate Type]]&lt;=265,TblTrvlDetails[[#This Row],[Rate Type]]=Data!$Z$5),VLOOKUP(TblTrvlDetails[[#This Row],[Full Amt]],TblIntl2024[],3,FALSE),
IF(AND(TblTrvlDetails[[#This Row],[D/I]]="D",TblTrvlDetails[[#This Row],[Rate Type]]=Data!$Z$4),VLOOKUP(TblTrvlDetails[[#This Row],[Rate Unique '#]],newrate,4,0),
IF(AND(TblTrvlDetails[[#This Row],[D/I]]="D",TblTrvlDetails[[#This Row],[Rate Type]]=Data!$Z$5),VLOOKUP(TblTrvlDetails[[#This Row],[Rate Unique '#]],newrate,4,0),0)))))),0))))</f>
        <v>0</v>
      </c>
      <c r="V17" s="61">
        <f>IF($G17="Enter Date",0,
IF(AND($G17&lt;&gt;"Enter Date",$G17&lt;DATEVALUE("10/1/25")),
IFERROR((
IF(AND(TblTrvlDetails[[#This Row],[D/I]]="I",TblTrvlDetails[[#This Row],[M&amp;IE Rates/Day
based on Rate Type]]&gt;265),TblTrvlDetails[[#This Row],[M&amp;IE Rates/Day
based on Rate Type]]*Data!C6,
IF(AND(TblTrvlDetails[[#This Row],[D/I]]="I",TblTrvlDetails[[#This Row],[M&amp;IE Rates/Day
based on Rate Type]]&lt;=265,TblTrvlDetails[[#This Row],[Rate Type]]=Data!$Z$4),VLOOKUP(TblTrvlDetails[[#This Row],[Full Amt]],TblIntl[],4,FALSE),
IF(AND(TblTrvlDetails[[#This Row],[D/I]]="I",TblTrvlDetails[[#This Row],[M&amp;IE Rates/Day
based on Rate Type]]&lt;=265,TblTrvlDetails[[#This Row],[Rate Type]]=Data!$Z$5),VLOOKUP(TblTrvlDetails[[#This Row],[Full Amt]],TblIntl[],4,FALSE),
IF(AND(TblTrvlDetails[[#This Row],[D/I]]="D",TblTrvlDetails[[#This Row],[Rate Type]]=Data!$Z$4),VLOOKUP(TblTrvlDetails[[#This Row],[Rate Unique '#]],newrate,5,0),
IF(AND(TblTrvlDetails[[#This Row],[D/I]]="D",TblTrvlDetails[[#This Row],[Rate Type]]=Data!$Z$5),VLOOKUP(TblTrvlDetails[[#This Row],[Rate Unique '#]],newrate,5,0),0)))))),0),
IF($G17&gt;=DATEVALUE("10/1/25"),IFERROR((
IF(AND(TblTrvlDetails[[#This Row],[D/I]]="I",TblTrvlDetails[[#This Row],[M&amp;IE Rates/Day
based on Rate Type]]&gt;265),TblTrvlDetails[[#This Row],[M&amp;IE Rates/Day
based on Rate Type]]*Data!C6,
IF(AND(TblTrvlDetails[[#This Row],[D/I]]="I",TblTrvlDetails[[#This Row],[M&amp;IE Rates/Day
based on Rate Type]]&lt;=265,TblTrvlDetails[[#This Row],[Rate Type]]=Data!$Z$4),VLOOKUP(TblTrvlDetails[[#This Row],[Full Amt]],TblIntl2024[],4,FALSE),
IF(AND(TblTrvlDetails[[#This Row],[D/I]]="I",TblTrvlDetails[[#This Row],[M&amp;IE Rates/Day
based on Rate Type]]&lt;=265,TblTrvlDetails[[#This Row],[Rate Type]]=Data!$Z$5),VLOOKUP(TblTrvlDetails[[#This Row],[Full Amt]],TblIntl2024[],4,FALSE),
IF(AND(TblTrvlDetails[[#This Row],[D/I]]="D",TblTrvlDetails[[#This Row],[Rate Type]]=Data!$Z$4),VLOOKUP(TblTrvlDetails[[#This Row],[Rate Unique '#]],newrate,5,0),
IF(AND(TblTrvlDetails[[#This Row],[D/I]]="D",TblTrvlDetails[[#This Row],[Rate Type]]=Data!$Z$5),VLOOKUP(TblTrvlDetails[[#This Row],[Rate Unique '#]],newrate,5,0),0)))))),0))))</f>
        <v>0</v>
      </c>
      <c r="W17" s="27">
        <f>IF($G17="Enter Date",0,
IF(AND($G17&lt;&gt;"Enter Date",$G17&lt;DATEVALUE("10/1/25")),
IFERROR((
IF(AND(TblTrvlDetails[[#This Row],[D/I]]="I",TblTrvlDetails[[#This Row],[M&amp;IE Rates/Day
based on Rate Type]]&gt;265),TblTrvlDetails[[#This Row],[M&amp;IE Rates/Day
based on Rate Type]]*Data!C6,
IF(AND(TblTrvlDetails[[#This Row],[D/I]]="I",TblTrvlDetails[[#This Row],[M&amp;IE Rates/Day
based on Rate Type]]&lt;=265,TblTrvlDetails[[#This Row],[Rate Type]]=Data!$Z$4),VLOOKUP(TblTrvlDetails[[#This Row],[Full Amt]],TblIntl[],5,FALSE),
IF(AND(TblTrvlDetails[[#This Row],[D/I]]="I",TblTrvlDetails[[#This Row],[M&amp;IE Rates/Day
based on Rate Type]]&lt;=265,TblTrvlDetails[[#This Row],[Rate Type]]=Data!$Z$5),VLOOKUP(TblTrvlDetails[[#This Row],[Full Amt]],TblIntl[],5,FALSE),
IF(AND(TblTrvlDetails[[#This Row],[D/I]]="D",TblTrvlDetails[[#This Row],[Rate Type]]=Data!$Z$4),VLOOKUP(TblTrvlDetails[[#This Row],[Rate Unique '#]],newrate,6,0),
IF(AND(TblTrvlDetails[[#This Row],[D/I]]="D",TblTrvlDetails[[#This Row],[Rate Type]]=Data!$Z$5),VLOOKUP(TblTrvlDetails[[#This Row],[Rate Unique '#]],newrate,6,0),0)))))),0),
IF($G17&gt;=DATEVALUE("10/1/25"),IFERROR((
IF(AND(TblTrvlDetails[[#This Row],[D/I]]="I",TblTrvlDetails[[#This Row],[M&amp;IE Rates/Day
based on Rate Type]]&gt;265),TblTrvlDetails[[#This Row],[M&amp;IE Rates/Day
based on Rate Type]]*Data!C6,
IF(AND(TblTrvlDetails[[#This Row],[D/I]]="I",TblTrvlDetails[[#This Row],[M&amp;IE Rates/Day
based on Rate Type]]&lt;=265,TblTrvlDetails[[#This Row],[Rate Type]]=Data!$Z$4),VLOOKUP(TblTrvlDetails[[#This Row],[Full Amt]],TblIntl2024[],5,FALSE),
IF(AND(TblTrvlDetails[[#This Row],[D/I]]="I",TblTrvlDetails[[#This Row],[M&amp;IE Rates/Day
based on Rate Type]]&lt;=265,TblTrvlDetails[[#This Row],[Rate Type]]=Data!$Z$5),VLOOKUP(TblTrvlDetails[[#This Row],[Full Amt]],TblIntl2024[],5,FALSE),
IF(AND(TblTrvlDetails[[#This Row],[D/I]]="D",TblTrvlDetails[[#This Row],[Rate Type]]=Data!$Z$4),VLOOKUP(TblTrvlDetails[[#This Row],[Rate Unique '#]],newrate,6,0),
IF(AND(TblTrvlDetails[[#This Row],[D/I]]="D",TblTrvlDetails[[#This Row],[Rate Type]]=Data!$Z$5),VLOOKUP(TblTrvlDetails[[#This Row],[Rate Unique '#]],newrate,6,0),0)))))),0))))</f>
        <v>0</v>
      </c>
      <c r="X17" s="31">
        <f>SUM(IFERROR(SUMIFS(TblTrvlDetails[[#This Row],[Miles*]],TblTrvlDetails[[#This Row],[Travel Date
required]],"&lt;01/01/2025")*(VLOOKUP("Car Mileage",TblTransport[#All],2,FALSE)),0),IFERROR(SUMIFS(TblTrvlDetails[[#This Row],[Miles*]],TblTrvlDetails[[#This Row],[Travel Date
required]],"&gt;=01/01/2025")*(VLOOKUP("Car Mileage",TblTransport[#All],3,FALSE)),0),TblTrvlDetails[[#This Row],[M&amp;IE Total]:[Lodging*]],TblTrvlDetails[[#This Row],[Ground Transport*]:[Business Expense*]])</f>
        <v>0</v>
      </c>
      <c r="Y17" s="75">
        <v>0</v>
      </c>
      <c r="Z17" s="71" t="e">
        <f>IF(MONTH(TblTrvlDetails[[#This Row],[Travel Date
required]])&lt;10,YEAR(TblTrvlDetails[[#This Row],[Travel Date
required]]),YEAR(TblTrvlDetails[[#This Row],[Travel Date
required]])+1)</f>
        <v>#VALUE!</v>
      </c>
      <c r="AA17" s="72" t="e">
        <f>CONCATENATE(TblTrvlDetails[[#This Row],[GSA FY]],TblTrvlDetails[[#This Row],[Full Amt]])</f>
        <v>#VALUE!</v>
      </c>
    </row>
    <row r="18" spans="2:27" ht="20.45" customHeight="1" x14ac:dyDescent="0.25">
      <c r="B18" s="25"/>
      <c r="C18" s="26"/>
      <c r="D18" s="25"/>
      <c r="E18" s="27" t="str">
        <f>_xlfn.IFNA(IF(VLOOKUP(TblTrvlDetails[[#This Row],[Location]],TblDom[],2,FALSE)&lt;&gt;"International","D",IF(VLOOKUP(TblTrvlDetails[[#This Row],[Location]],TblDom[],2,FALSE)="International","I","")),"")</f>
        <v/>
      </c>
      <c r="F18" s="27">
        <f>IFERROR(
IF(AND(ISBLANK(TblTrvlDetails[[#This Row],[Rate Type]])),0,(
IF((TblTrvlDetails[[#This Row],[Rate Type]])="Not Claiming Per Diem",0,(
IF(AND(TblTrvlDetails[[#This Row],[Rate Type]]=Data!$Z$4,(OR(ISBLANK(TblTrvlDetails[[#This Row],[Location]]),VLOOKUP(TblTrvlDetails[[#This Row],[Location]],TblDom[],2,FALSE)="International"))), VLOOKUP(TblTrvlDetails[[#This Row],[Location]],TblDom[],3,FALSE)*0.75,
IF(AND(TblTrvlDetails[[#This Row],[Rate Type]]=Data!$Z$4,(OR(ISBLANK(TblTrvlDetails[[#This Row],[Location]]),VLOOKUP(TblTrvlDetails[[#This Row],[Location]],TblDom[],2,FALSE)&lt;=IF($G$4&lt;10/1/2025,HighestRate24,HighestRate25)))), VLOOKUP(TblTrvlDetails[[#This Row],[Location]],TblDom[],2,FALSE)*0.75,
IF(AND(TblTrvlDetails[[#This Row],[Rate Type]]=Data!$Z$5,(OR(ISBLANK(TblTrvlDetails[[#This Row],[Location]]),VLOOKUP(TblTrvlDetails[[#This Row],[Location]],TblDom[],2,FALSE)="International"))), VLOOKUP(TblTrvlDetails[[#This Row],[Location]],TblDom[],3,FALSE),
IF(AND(TblTrvlDetails[[#This Row],[Rate Type]]=Data!$Z$5,(OR(ISBLANK(TblTrvlDetails[[#This Row],[Location]]),VLOOKUP(TblTrvlDetails[[#This Row],[Location]],TblDom[],2,FALSE)&lt;=IF($G$4&lt;10/1/2025,HighestRate24,HighestRate25)))), VLOOKUP(TblTrvlDetails[[#This Row],[Location]],TblDom[],2,FALSE))))))))),0)</f>
        <v>0</v>
      </c>
      <c r="G18" s="28" t="str">
        <f>IF(ISBLANK(TblTrvlDetails[[#This Row],[Rate Type]])=TRUE,"","Enter Date")</f>
        <v/>
      </c>
      <c r="H18" s="29">
        <f>0</f>
        <v>0</v>
      </c>
      <c r="I18" s="29">
        <v>0</v>
      </c>
      <c r="J18" s="29">
        <v>0</v>
      </c>
      <c r="K18" s="29">
        <v>0</v>
      </c>
      <c r="L18" s="27">
        <f>IF(TblTrvlDetails[[#This Row],[Travel Date
required]]="Enter Date",0,IF(TblTrvlDetails[[#This Row],[Travel Date
required]]="",0,IF(SUM(TblTrvlDetails[[#This Row],[Breakfast]:[Incidental Expenses]])=0,TblTrvlDetails[[#This Row],[M&amp;IE Rates/Day
based on Rate Type]],IFERROR(SUM(IF(TblTrvlDetails[[#This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18" s="30"/>
      <c r="N18" s="30"/>
      <c r="O18" s="26"/>
      <c r="P18" s="30"/>
      <c r="Q18" s="30"/>
      <c r="R18" s="30"/>
      <c r="S18" s="29">
        <f>IF(ISBLANK(TblTrvlDetails[[#This Row],[Location]]),0,IF(TblTrvlDetails[[#This Row],[D/I]]="I",VLOOKUP(TblTrvlDetails[[#This Row],[Location]],TblDom[],3,FALSE),VLOOKUP(TblTrvlDetails[[#This Row],[Location]],TblDom[],2,FALSE)))</f>
        <v>0</v>
      </c>
      <c r="T18" s="61">
        <f>IF($G18="Enter Date",0,
IF(AND($G18&lt;&gt;"Enter Date",$G18&lt;DATEVALUE("10/1/25")),
IFERROR((
IF(AND(TblTrvlDetails[[#This Row],[D/I]]="I",TblTrvlDetails[[#This Row],[M&amp;IE Rates/Day
based on Rate Type]]&gt;265),TblTrvlDetails[[#This Row],[M&amp;IE Rates/Day
based on Rate Type]]*Data!C7,
IF(AND(TblTrvlDetails[[#This Row],[D/I]]="I",TblTrvlDetails[[#This Row],[M&amp;IE Rates/Day
based on Rate Type]]&lt;=265,TblTrvlDetails[[#This Row],[Rate Type]]=Data!$Z$4),VLOOKUP(TblTrvlDetails[[#This Row],[Full Amt]],TblIntl[],2,FALSE),
IF(AND(TblTrvlDetails[[#This Row],[D/I]]="I",TblTrvlDetails[[#This Row],[M&amp;IE Rates/Day
based on Rate Type]]&lt;=265,TblTrvlDetails[[#This Row],[Rate Type]]=Data!$Z$5),VLOOKUP(TblTrvlDetails[[#This Row],[Full Amt]],TblIntl[],2,FALSE),
IF(AND(TblTrvlDetails[[#This Row],[D/I]]="D",TblTrvlDetails[[#This Row],[Rate Type]]=Data!$Z$4),VLOOKUP(TblTrvlDetails[[#This Row],[Rate Unique '#]],newrate,3,0),
IF(AND(TblTrvlDetails[[#This Row],[D/I]]="D",TblTrvlDetails[[#This Row],[Rate Type]]=Data!$Z$5),VLOOKUP(TblTrvlDetails[[#This Row],[Rate Unique '#]],newrate,3,0),0)))))),0),
IF($G18&gt;=DATEVALUE("10/1/25"),IFERROR((
IF(AND(TblTrvlDetails[[#This Row],[D/I]]="I",TblTrvlDetails[[#This Row],[M&amp;IE Rates/Day
based on Rate Type]]&gt;265),TblTrvlDetails[[#This Row],[M&amp;IE Rates/Day
based on Rate Type]]*Data!C7,
IF(AND(TblTrvlDetails[[#This Row],[D/I]]="I",TblTrvlDetails[[#This Row],[M&amp;IE Rates/Day
based on Rate Type]]&lt;=265,TblTrvlDetails[[#This Row],[Rate Type]]=Data!$Z$4),VLOOKUP(TblTrvlDetails[[#This Row],[Full Amt]],TblIntl2024[],2,FALSE),
IF(AND(TblTrvlDetails[[#This Row],[D/I]]="I",TblTrvlDetails[[#This Row],[M&amp;IE Rates/Day
based on Rate Type]]&lt;=265,TblTrvlDetails[[#This Row],[Rate Type]]=Data!$Z$5),VLOOKUP(TblTrvlDetails[[#This Row],[Full Amt]],TblIntl2024[],2,FALSE),
IF(AND(TblTrvlDetails[[#This Row],[D/I]]="D",TblTrvlDetails[[#This Row],[Rate Type]]=Data!$Z$4),VLOOKUP(TblTrvlDetails[[#This Row],[Rate Unique '#]],newrate,3,0),
IF(AND(TblTrvlDetails[[#This Row],[D/I]]="D",TblTrvlDetails[[#This Row],[Rate Type]]=Data!$Z$5),VLOOKUP(TblTrvlDetails[[#This Row],[Rate Unique '#]],newrate,3,0),0)))))),0))))</f>
        <v>0</v>
      </c>
      <c r="U18" s="61">
        <f>IF($G18="Enter Date",0,
IF(AND($G18&lt;&gt;"Enter Date",$G18&lt;DATEVALUE("10/1/25")),
IFERROR((
IF(AND(TblTrvlDetails[[#This Row],[D/I]]="I",TblTrvlDetails[[#This Row],[M&amp;IE Rates/Day
based on Rate Type]]&gt;265),TblTrvlDetails[[#This Row],[M&amp;IE Rates/Day
based on Rate Type]]*Data!C7,
IF(AND(TblTrvlDetails[[#This Row],[D/I]]="I",TblTrvlDetails[[#This Row],[M&amp;IE Rates/Day
based on Rate Type]]&lt;=265,TblTrvlDetails[[#This Row],[Rate Type]]=Data!$Z$4),VLOOKUP(TblTrvlDetails[[#This Row],[Full Amt]],TblIntl[],3,FALSE),
IF(AND(TblTrvlDetails[[#This Row],[D/I]]="I",TblTrvlDetails[[#This Row],[M&amp;IE Rates/Day
based on Rate Type]]&lt;=265,TblTrvlDetails[[#This Row],[Rate Type]]=Data!$Z$5),VLOOKUP(TblTrvlDetails[[#This Row],[Full Amt]],TblIntl[],3,FALSE),
IF(AND(TblTrvlDetails[[#This Row],[D/I]]="D",TblTrvlDetails[[#This Row],[Rate Type]]=Data!$Z$4),VLOOKUP(TblTrvlDetails[[#This Row],[Rate Unique '#]],newrate,4,0),
IF(AND(TblTrvlDetails[[#This Row],[D/I]]="D",TblTrvlDetails[[#This Row],[Rate Type]]=Data!$Z$5),VLOOKUP(TblTrvlDetails[[#This Row],[Rate Unique '#]],newrate,4,0),0)))))),0),
IF($G18&gt;=DATEVALUE("10/1/25"),IFERROR((
IF(AND(TblTrvlDetails[[#This Row],[D/I]]="I",TblTrvlDetails[[#This Row],[M&amp;IE Rates/Day
based on Rate Type]]&gt;265),TblTrvlDetails[[#This Row],[M&amp;IE Rates/Day
based on Rate Type]]*Data!C7,
IF(AND(TblTrvlDetails[[#This Row],[D/I]]="I",TblTrvlDetails[[#This Row],[M&amp;IE Rates/Day
based on Rate Type]]&lt;=265,TblTrvlDetails[[#This Row],[Rate Type]]=Data!$Z$4),VLOOKUP(TblTrvlDetails[[#This Row],[Full Amt]],TblIntl2024[],3,FALSE),
IF(AND(TblTrvlDetails[[#This Row],[D/I]]="I",TblTrvlDetails[[#This Row],[M&amp;IE Rates/Day
based on Rate Type]]&lt;=265,TblTrvlDetails[[#This Row],[Rate Type]]=Data!$Z$5),VLOOKUP(TblTrvlDetails[[#This Row],[Full Amt]],TblIntl2024[],3,FALSE),
IF(AND(TblTrvlDetails[[#This Row],[D/I]]="D",TblTrvlDetails[[#This Row],[Rate Type]]=Data!$Z$4),VLOOKUP(TblTrvlDetails[[#This Row],[Rate Unique '#]],newrate,4,0),
IF(AND(TblTrvlDetails[[#This Row],[D/I]]="D",TblTrvlDetails[[#This Row],[Rate Type]]=Data!$Z$5),VLOOKUP(TblTrvlDetails[[#This Row],[Rate Unique '#]],newrate,4,0),0)))))),0))))</f>
        <v>0</v>
      </c>
      <c r="V18" s="61">
        <f>IF($G18="Enter Date",0,
IF(AND($G18&lt;&gt;"Enter Date",$G18&lt;DATEVALUE("10/1/25")),
IFERROR((
IF(AND(TblTrvlDetails[[#This Row],[D/I]]="I",TblTrvlDetails[[#This Row],[M&amp;IE Rates/Day
based on Rate Type]]&gt;265),TblTrvlDetails[[#This Row],[M&amp;IE Rates/Day
based on Rate Type]]*Data!C7,
IF(AND(TblTrvlDetails[[#This Row],[D/I]]="I",TblTrvlDetails[[#This Row],[M&amp;IE Rates/Day
based on Rate Type]]&lt;=265,TblTrvlDetails[[#This Row],[Rate Type]]=Data!$Z$4),VLOOKUP(TblTrvlDetails[[#This Row],[Full Amt]],TblIntl[],4,FALSE),
IF(AND(TblTrvlDetails[[#This Row],[D/I]]="I",TblTrvlDetails[[#This Row],[M&amp;IE Rates/Day
based on Rate Type]]&lt;=265,TblTrvlDetails[[#This Row],[Rate Type]]=Data!$Z$5),VLOOKUP(TblTrvlDetails[[#This Row],[Full Amt]],TblIntl[],4,FALSE),
IF(AND(TblTrvlDetails[[#This Row],[D/I]]="D",TblTrvlDetails[[#This Row],[Rate Type]]=Data!$Z$4),VLOOKUP(TblTrvlDetails[[#This Row],[Rate Unique '#]],newrate,5,0),
IF(AND(TblTrvlDetails[[#This Row],[D/I]]="D",TblTrvlDetails[[#This Row],[Rate Type]]=Data!$Z$5),VLOOKUP(TblTrvlDetails[[#This Row],[Rate Unique '#]],newrate,5,0),0)))))),0),
IF($G18&gt;=DATEVALUE("10/1/25"),IFERROR((
IF(AND(TblTrvlDetails[[#This Row],[D/I]]="I",TblTrvlDetails[[#This Row],[M&amp;IE Rates/Day
based on Rate Type]]&gt;265),TblTrvlDetails[[#This Row],[M&amp;IE Rates/Day
based on Rate Type]]*Data!C7,
IF(AND(TblTrvlDetails[[#This Row],[D/I]]="I",TblTrvlDetails[[#This Row],[M&amp;IE Rates/Day
based on Rate Type]]&lt;=265,TblTrvlDetails[[#This Row],[Rate Type]]=Data!$Z$4),VLOOKUP(TblTrvlDetails[[#This Row],[Full Amt]],TblIntl2024[],4,FALSE),
IF(AND(TblTrvlDetails[[#This Row],[D/I]]="I",TblTrvlDetails[[#This Row],[M&amp;IE Rates/Day
based on Rate Type]]&lt;=265,TblTrvlDetails[[#This Row],[Rate Type]]=Data!$Z$5),VLOOKUP(TblTrvlDetails[[#This Row],[Full Amt]],TblIntl2024[],4,FALSE),
IF(AND(TblTrvlDetails[[#This Row],[D/I]]="D",TblTrvlDetails[[#This Row],[Rate Type]]=Data!$Z$4),VLOOKUP(TblTrvlDetails[[#This Row],[Rate Unique '#]],newrate,5,0),
IF(AND(TblTrvlDetails[[#This Row],[D/I]]="D",TblTrvlDetails[[#This Row],[Rate Type]]=Data!$Z$5),VLOOKUP(TblTrvlDetails[[#This Row],[Rate Unique '#]],newrate,5,0),0)))))),0))))</f>
        <v>0</v>
      </c>
      <c r="W18" s="27">
        <f>IF($G18="Enter Date",0,
IF(AND($G18&lt;&gt;"Enter Date",$G18&lt;DATEVALUE("10/1/25")),
IFERROR((
IF(AND(TblTrvlDetails[[#This Row],[D/I]]="I",TblTrvlDetails[[#This Row],[M&amp;IE Rates/Day
based on Rate Type]]&gt;265),TblTrvlDetails[[#This Row],[M&amp;IE Rates/Day
based on Rate Type]]*Data!C7,
IF(AND(TblTrvlDetails[[#This Row],[D/I]]="I",TblTrvlDetails[[#This Row],[M&amp;IE Rates/Day
based on Rate Type]]&lt;=265,TblTrvlDetails[[#This Row],[Rate Type]]=Data!$Z$4),VLOOKUP(TblTrvlDetails[[#This Row],[Full Amt]],TblIntl[],5,FALSE),
IF(AND(TblTrvlDetails[[#This Row],[D/I]]="I",TblTrvlDetails[[#This Row],[M&amp;IE Rates/Day
based on Rate Type]]&lt;=265,TblTrvlDetails[[#This Row],[Rate Type]]=Data!$Z$5),VLOOKUP(TblTrvlDetails[[#This Row],[Full Amt]],TblIntl[],5,FALSE),
IF(AND(TblTrvlDetails[[#This Row],[D/I]]="D",TblTrvlDetails[[#This Row],[Rate Type]]=Data!$Z$4),VLOOKUP(TblTrvlDetails[[#This Row],[Rate Unique '#]],newrate,6,0),
IF(AND(TblTrvlDetails[[#This Row],[D/I]]="D",TblTrvlDetails[[#This Row],[Rate Type]]=Data!$Z$5),VLOOKUP(TblTrvlDetails[[#This Row],[Rate Unique '#]],newrate,6,0),0)))))),0),
IF($G18&gt;=DATEVALUE("10/1/25"),IFERROR((
IF(AND(TblTrvlDetails[[#This Row],[D/I]]="I",TblTrvlDetails[[#This Row],[M&amp;IE Rates/Day
based on Rate Type]]&gt;265),TblTrvlDetails[[#This Row],[M&amp;IE Rates/Day
based on Rate Type]]*Data!C7,
IF(AND(TblTrvlDetails[[#This Row],[D/I]]="I",TblTrvlDetails[[#This Row],[M&amp;IE Rates/Day
based on Rate Type]]&lt;=265,TblTrvlDetails[[#This Row],[Rate Type]]=Data!$Z$4),VLOOKUP(TblTrvlDetails[[#This Row],[Full Amt]],TblIntl2024[],5,FALSE),
IF(AND(TblTrvlDetails[[#This Row],[D/I]]="I",TblTrvlDetails[[#This Row],[M&amp;IE Rates/Day
based on Rate Type]]&lt;=265,TblTrvlDetails[[#This Row],[Rate Type]]=Data!$Z$5),VLOOKUP(TblTrvlDetails[[#This Row],[Full Amt]],TblIntl2024[],5,FALSE),
IF(AND(TblTrvlDetails[[#This Row],[D/I]]="D",TblTrvlDetails[[#This Row],[Rate Type]]=Data!$Z$4),VLOOKUP(TblTrvlDetails[[#This Row],[Rate Unique '#]],newrate,6,0),
IF(AND(TblTrvlDetails[[#This Row],[D/I]]="D",TblTrvlDetails[[#This Row],[Rate Type]]=Data!$Z$5),VLOOKUP(TblTrvlDetails[[#This Row],[Rate Unique '#]],newrate,6,0),0)))))),0))))</f>
        <v>0</v>
      </c>
      <c r="X18" s="31">
        <f>SUM(IFERROR(SUMIFS(TblTrvlDetails[[#This Row],[Miles*]],TblTrvlDetails[[#This Row],[Travel Date
required]],"&lt;01/01/2025")*(VLOOKUP("Car Mileage",TblTransport[#All],2,FALSE)),0),IFERROR(SUMIFS(TblTrvlDetails[[#This Row],[Miles*]],TblTrvlDetails[[#This Row],[Travel Date
required]],"&gt;=01/01/2025")*(VLOOKUP("Car Mileage",TblTransport[#All],3,FALSE)),0),TblTrvlDetails[[#This Row],[M&amp;IE Total]:[Lodging*]],TblTrvlDetails[[#This Row],[Ground Transport*]:[Business Expense*]])</f>
        <v>0</v>
      </c>
      <c r="Y18" s="75">
        <v>0</v>
      </c>
      <c r="Z18" s="71" t="e">
        <f>IF(MONTH(TblTrvlDetails[[#This Row],[Travel Date
required]])&lt;10,YEAR(TblTrvlDetails[[#This Row],[Travel Date
required]]),YEAR(TblTrvlDetails[[#This Row],[Travel Date
required]])+1)</f>
        <v>#VALUE!</v>
      </c>
      <c r="AA18" s="72" t="e">
        <f>CONCATENATE(TblTrvlDetails[[#This Row],[GSA FY]],TblTrvlDetails[[#This Row],[Full Amt]])</f>
        <v>#VALUE!</v>
      </c>
    </row>
    <row r="19" spans="2:27" ht="20.45" customHeight="1" x14ac:dyDescent="0.25">
      <c r="B19" s="25"/>
      <c r="C19" s="26"/>
      <c r="D19" s="25"/>
      <c r="E19" s="27" t="str">
        <f>_xlfn.IFNA(IF(VLOOKUP(TblTrvlDetails[[#This Row],[Location]],TblDom[],2,FALSE)&lt;&gt;"International","D",IF(VLOOKUP(TblTrvlDetails[[#This Row],[Location]],TblDom[],2,FALSE)="International","I","")),"")</f>
        <v/>
      </c>
      <c r="F19" s="27">
        <f>IFERROR(
IF(AND(ISBLANK(TblTrvlDetails[[#This Row],[Rate Type]])),0,(
IF((TblTrvlDetails[[#This Row],[Rate Type]])="Not Claiming Per Diem",0,(
IF(AND(TblTrvlDetails[[#This Row],[Rate Type]]=Data!$Z$4,(OR(ISBLANK(TblTrvlDetails[[#This Row],[Location]]),VLOOKUP(TblTrvlDetails[[#This Row],[Location]],TblDom[],2,FALSE)="International"))), VLOOKUP(TblTrvlDetails[[#This Row],[Location]],TblDom[],3,FALSE)*0.75,
IF(AND(TblTrvlDetails[[#This Row],[Rate Type]]=Data!$Z$4,(OR(ISBLANK(TblTrvlDetails[[#This Row],[Location]]),VLOOKUP(TblTrvlDetails[[#This Row],[Location]],TblDom[],2,FALSE)&lt;=IF($G$4&lt;10/1/2025,HighestRate24,HighestRate25)))), VLOOKUP(TblTrvlDetails[[#This Row],[Location]],TblDom[],2,FALSE)*0.75,
IF(AND(TblTrvlDetails[[#This Row],[Rate Type]]=Data!$Z$5,(OR(ISBLANK(TblTrvlDetails[[#This Row],[Location]]),VLOOKUP(TblTrvlDetails[[#This Row],[Location]],TblDom[],2,FALSE)="International"))), VLOOKUP(TblTrvlDetails[[#This Row],[Location]],TblDom[],3,FALSE),
IF(AND(TblTrvlDetails[[#This Row],[Rate Type]]=Data!$Z$5,(OR(ISBLANK(TblTrvlDetails[[#This Row],[Location]]),VLOOKUP(TblTrvlDetails[[#This Row],[Location]],TblDom[],2,FALSE)&lt;=IF($G$4&lt;10/1/2025,HighestRate24,HighestRate25)))), VLOOKUP(TblTrvlDetails[[#This Row],[Location]],TblDom[],2,FALSE))))))))),0)</f>
        <v>0</v>
      </c>
      <c r="G19" s="28" t="str">
        <f>IF(ISBLANK(TblTrvlDetails[[#This Row],[Rate Type]])=TRUE,"","Enter Date")</f>
        <v/>
      </c>
      <c r="H19" s="29">
        <f>0</f>
        <v>0</v>
      </c>
      <c r="I19" s="29">
        <v>0</v>
      </c>
      <c r="J19" s="29">
        <v>0</v>
      </c>
      <c r="K19" s="29">
        <v>0</v>
      </c>
      <c r="L19" s="27">
        <f>IF(TblTrvlDetails[[#This Row],[Travel Date
required]]="Enter Date",0,IF(TblTrvlDetails[[#This Row],[Travel Date
required]]="",0,IF(SUM(TblTrvlDetails[[#This Row],[Breakfast]:[Incidental Expenses]])=0,TblTrvlDetails[[#This Row],[M&amp;IE Rates/Day
based on Rate Type]],IFERROR(SUM(IF(TblTrvlDetails[[#This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19" s="30"/>
      <c r="N19" s="30"/>
      <c r="O19" s="26"/>
      <c r="P19" s="30"/>
      <c r="Q19" s="30"/>
      <c r="R19" s="30"/>
      <c r="S19" s="29">
        <f>IF(ISBLANK(TblTrvlDetails[[#This Row],[Location]]),0,IF(TblTrvlDetails[[#This Row],[D/I]]="I",VLOOKUP(TblTrvlDetails[[#This Row],[Location]],TblDom[],3,FALSE),VLOOKUP(TblTrvlDetails[[#This Row],[Location]],TblDom[],2,FALSE)))</f>
        <v>0</v>
      </c>
      <c r="T19" s="61">
        <f>IF($G19="Enter Date",0,
IF(AND($G19&lt;&gt;"Enter Date",$G19&lt;DATEVALUE("10/1/25")),
IFERROR((
IF(AND(TblTrvlDetails[[#This Row],[D/I]]="I",TblTrvlDetails[[#This Row],[M&amp;IE Rates/Day
based on Rate Type]]&gt;265),TblTrvlDetails[[#This Row],[M&amp;IE Rates/Day
based on Rate Type]]*Data!C8,
IF(AND(TblTrvlDetails[[#This Row],[D/I]]="I",TblTrvlDetails[[#This Row],[M&amp;IE Rates/Day
based on Rate Type]]&lt;=265,TblTrvlDetails[[#This Row],[Rate Type]]=Data!$Z$4),VLOOKUP(TblTrvlDetails[[#This Row],[Full Amt]],TblIntl[],2,FALSE),
IF(AND(TblTrvlDetails[[#This Row],[D/I]]="I",TblTrvlDetails[[#This Row],[M&amp;IE Rates/Day
based on Rate Type]]&lt;=265,TblTrvlDetails[[#This Row],[Rate Type]]=Data!$Z$5),VLOOKUP(TblTrvlDetails[[#This Row],[Full Amt]],TblIntl[],2,FALSE),
IF(AND(TblTrvlDetails[[#This Row],[D/I]]="D",TblTrvlDetails[[#This Row],[Rate Type]]=Data!$Z$4),VLOOKUP(TblTrvlDetails[[#This Row],[Rate Unique '#]],newrate,3,0),
IF(AND(TblTrvlDetails[[#This Row],[D/I]]="D",TblTrvlDetails[[#This Row],[Rate Type]]=Data!$Z$5),VLOOKUP(TblTrvlDetails[[#This Row],[Rate Unique '#]],newrate,3,0),0)))))),0),
IF($G19&gt;=DATEVALUE("10/1/25"),IFERROR((
IF(AND(TblTrvlDetails[[#This Row],[D/I]]="I",TblTrvlDetails[[#This Row],[M&amp;IE Rates/Day
based on Rate Type]]&gt;265),TblTrvlDetails[[#This Row],[M&amp;IE Rates/Day
based on Rate Type]]*Data!C8,
IF(AND(TblTrvlDetails[[#This Row],[D/I]]="I",TblTrvlDetails[[#This Row],[M&amp;IE Rates/Day
based on Rate Type]]&lt;=265,TblTrvlDetails[[#This Row],[Rate Type]]=Data!$Z$4),VLOOKUP(TblTrvlDetails[[#This Row],[Full Amt]],TblIntl2024[],2,FALSE),
IF(AND(TblTrvlDetails[[#This Row],[D/I]]="I",TblTrvlDetails[[#This Row],[M&amp;IE Rates/Day
based on Rate Type]]&lt;=265,TblTrvlDetails[[#This Row],[Rate Type]]=Data!$Z$5),VLOOKUP(TblTrvlDetails[[#This Row],[Full Amt]],TblIntl2024[],2,FALSE),
IF(AND(TblTrvlDetails[[#This Row],[D/I]]="D",TblTrvlDetails[[#This Row],[Rate Type]]=Data!$Z$4),VLOOKUP(TblTrvlDetails[[#This Row],[Rate Unique '#]],newrate,3,0),
IF(AND(TblTrvlDetails[[#This Row],[D/I]]="D",TblTrvlDetails[[#This Row],[Rate Type]]=Data!$Z$5),VLOOKUP(TblTrvlDetails[[#This Row],[Rate Unique '#]],newrate,3,0),0)))))),0))))</f>
        <v>0</v>
      </c>
      <c r="U19" s="61">
        <f>IF($G19="Enter Date",0,
IF(AND($G19&lt;&gt;"Enter Date",$G19&lt;DATEVALUE("10/1/25")),
IFERROR((
IF(AND(TblTrvlDetails[[#This Row],[D/I]]="I",TblTrvlDetails[[#This Row],[M&amp;IE Rates/Day
based on Rate Type]]&gt;265),TblTrvlDetails[[#This Row],[M&amp;IE Rates/Day
based on Rate Type]]*Data!C8,
IF(AND(TblTrvlDetails[[#This Row],[D/I]]="I",TblTrvlDetails[[#This Row],[M&amp;IE Rates/Day
based on Rate Type]]&lt;=265,TblTrvlDetails[[#This Row],[Rate Type]]=Data!$Z$4),VLOOKUP(TblTrvlDetails[[#This Row],[Full Amt]],TblIntl[],3,FALSE),
IF(AND(TblTrvlDetails[[#This Row],[D/I]]="I",TblTrvlDetails[[#This Row],[M&amp;IE Rates/Day
based on Rate Type]]&lt;=265,TblTrvlDetails[[#This Row],[Rate Type]]=Data!$Z$5),VLOOKUP(TblTrvlDetails[[#This Row],[Full Amt]],TblIntl[],3,FALSE),
IF(AND(TblTrvlDetails[[#This Row],[D/I]]="D",TblTrvlDetails[[#This Row],[Rate Type]]=Data!$Z$4),VLOOKUP(TblTrvlDetails[[#This Row],[Rate Unique '#]],newrate,4,0),
IF(AND(TblTrvlDetails[[#This Row],[D/I]]="D",TblTrvlDetails[[#This Row],[Rate Type]]=Data!$Z$5),VLOOKUP(TblTrvlDetails[[#This Row],[Rate Unique '#]],newrate,4,0),0)))))),0),
IF($G19&gt;=DATEVALUE("10/1/25"),IFERROR((
IF(AND(TblTrvlDetails[[#This Row],[D/I]]="I",TblTrvlDetails[[#This Row],[M&amp;IE Rates/Day
based on Rate Type]]&gt;265),TblTrvlDetails[[#This Row],[M&amp;IE Rates/Day
based on Rate Type]]*Data!C8,
IF(AND(TblTrvlDetails[[#This Row],[D/I]]="I",TblTrvlDetails[[#This Row],[M&amp;IE Rates/Day
based on Rate Type]]&lt;=265,TblTrvlDetails[[#This Row],[Rate Type]]=Data!$Z$4),VLOOKUP(TblTrvlDetails[[#This Row],[Full Amt]],TblIntl2024[],3,FALSE),
IF(AND(TblTrvlDetails[[#This Row],[D/I]]="I",TblTrvlDetails[[#This Row],[M&amp;IE Rates/Day
based on Rate Type]]&lt;=265,TblTrvlDetails[[#This Row],[Rate Type]]=Data!$Z$5),VLOOKUP(TblTrvlDetails[[#This Row],[Full Amt]],TblIntl2024[],3,FALSE),
IF(AND(TblTrvlDetails[[#This Row],[D/I]]="D",TblTrvlDetails[[#This Row],[Rate Type]]=Data!$Z$4),VLOOKUP(TblTrvlDetails[[#This Row],[Rate Unique '#]],newrate,4,0),
IF(AND(TblTrvlDetails[[#This Row],[D/I]]="D",TblTrvlDetails[[#This Row],[Rate Type]]=Data!$Z$5),VLOOKUP(TblTrvlDetails[[#This Row],[Rate Unique '#]],newrate,4,0),0)))))),0))))</f>
        <v>0</v>
      </c>
      <c r="V19" s="61">
        <f>IF($G19="Enter Date",0,
IF(AND($G19&lt;&gt;"Enter Date",$G19&lt;DATEVALUE("10/1/25")),
IFERROR((
IF(AND(TblTrvlDetails[[#This Row],[D/I]]="I",TblTrvlDetails[[#This Row],[M&amp;IE Rates/Day
based on Rate Type]]&gt;265),TblTrvlDetails[[#This Row],[M&amp;IE Rates/Day
based on Rate Type]]*Data!C8,
IF(AND(TblTrvlDetails[[#This Row],[D/I]]="I",TblTrvlDetails[[#This Row],[M&amp;IE Rates/Day
based on Rate Type]]&lt;=265,TblTrvlDetails[[#This Row],[Rate Type]]=Data!$Z$4),VLOOKUP(TblTrvlDetails[[#This Row],[Full Amt]],TblIntl[],4,FALSE),
IF(AND(TblTrvlDetails[[#This Row],[D/I]]="I",TblTrvlDetails[[#This Row],[M&amp;IE Rates/Day
based on Rate Type]]&lt;=265,TblTrvlDetails[[#This Row],[Rate Type]]=Data!$Z$5),VLOOKUP(TblTrvlDetails[[#This Row],[Full Amt]],TblIntl[],4,FALSE),
IF(AND(TblTrvlDetails[[#This Row],[D/I]]="D",TblTrvlDetails[[#This Row],[Rate Type]]=Data!$Z$4),VLOOKUP(TblTrvlDetails[[#This Row],[Rate Unique '#]],newrate,5,0),
IF(AND(TblTrvlDetails[[#This Row],[D/I]]="D",TblTrvlDetails[[#This Row],[Rate Type]]=Data!$Z$5),VLOOKUP(TblTrvlDetails[[#This Row],[Rate Unique '#]],newrate,5,0),0)))))),0),
IF($G19&gt;=DATEVALUE("10/1/25"),IFERROR((
IF(AND(TblTrvlDetails[[#This Row],[D/I]]="I",TblTrvlDetails[[#This Row],[M&amp;IE Rates/Day
based on Rate Type]]&gt;265),TblTrvlDetails[[#This Row],[M&amp;IE Rates/Day
based on Rate Type]]*Data!C8,
IF(AND(TblTrvlDetails[[#This Row],[D/I]]="I",TblTrvlDetails[[#This Row],[M&amp;IE Rates/Day
based on Rate Type]]&lt;=265,TblTrvlDetails[[#This Row],[Rate Type]]=Data!$Z$4),VLOOKUP(TblTrvlDetails[[#This Row],[Full Amt]],TblIntl2024[],4,FALSE),
IF(AND(TblTrvlDetails[[#This Row],[D/I]]="I",TblTrvlDetails[[#This Row],[M&amp;IE Rates/Day
based on Rate Type]]&lt;=265,TblTrvlDetails[[#This Row],[Rate Type]]=Data!$Z$5),VLOOKUP(TblTrvlDetails[[#This Row],[Full Amt]],TblIntl2024[],4,FALSE),
IF(AND(TblTrvlDetails[[#This Row],[D/I]]="D",TblTrvlDetails[[#This Row],[Rate Type]]=Data!$Z$4),VLOOKUP(TblTrvlDetails[[#This Row],[Rate Unique '#]],newrate,5,0),
IF(AND(TblTrvlDetails[[#This Row],[D/I]]="D",TblTrvlDetails[[#This Row],[Rate Type]]=Data!$Z$5),VLOOKUP(TblTrvlDetails[[#This Row],[Rate Unique '#]],newrate,5,0),0)))))),0))))</f>
        <v>0</v>
      </c>
      <c r="W19" s="27">
        <f>IF($G19="Enter Date",0,
IF(AND($G19&lt;&gt;"Enter Date",$G19&lt;DATEVALUE("10/1/25")),
IFERROR((
IF(AND(TblTrvlDetails[[#This Row],[D/I]]="I",TblTrvlDetails[[#This Row],[M&amp;IE Rates/Day
based on Rate Type]]&gt;265),TblTrvlDetails[[#This Row],[M&amp;IE Rates/Day
based on Rate Type]]*Data!C8,
IF(AND(TblTrvlDetails[[#This Row],[D/I]]="I",TblTrvlDetails[[#This Row],[M&amp;IE Rates/Day
based on Rate Type]]&lt;=265,TblTrvlDetails[[#This Row],[Rate Type]]=Data!$Z$4),VLOOKUP(TblTrvlDetails[[#This Row],[Full Amt]],TblIntl[],5,FALSE),
IF(AND(TblTrvlDetails[[#This Row],[D/I]]="I",TblTrvlDetails[[#This Row],[M&amp;IE Rates/Day
based on Rate Type]]&lt;=265,TblTrvlDetails[[#This Row],[Rate Type]]=Data!$Z$5),VLOOKUP(TblTrvlDetails[[#This Row],[Full Amt]],TblIntl[],5,FALSE),
IF(AND(TblTrvlDetails[[#This Row],[D/I]]="D",TblTrvlDetails[[#This Row],[Rate Type]]=Data!$Z$4),VLOOKUP(TblTrvlDetails[[#This Row],[Rate Unique '#]],newrate,6,0),
IF(AND(TblTrvlDetails[[#This Row],[D/I]]="D",TblTrvlDetails[[#This Row],[Rate Type]]=Data!$Z$5),VLOOKUP(TblTrvlDetails[[#This Row],[Rate Unique '#]],newrate,6,0),0)))))),0),
IF($G19&gt;=DATEVALUE("10/1/25"),IFERROR((
IF(AND(TblTrvlDetails[[#This Row],[D/I]]="I",TblTrvlDetails[[#This Row],[M&amp;IE Rates/Day
based on Rate Type]]&gt;265),TblTrvlDetails[[#This Row],[M&amp;IE Rates/Day
based on Rate Type]]*Data!C8,
IF(AND(TblTrvlDetails[[#This Row],[D/I]]="I",TblTrvlDetails[[#This Row],[M&amp;IE Rates/Day
based on Rate Type]]&lt;=265,TblTrvlDetails[[#This Row],[Rate Type]]=Data!$Z$4),VLOOKUP(TblTrvlDetails[[#This Row],[Full Amt]],TblIntl2024[],5,FALSE),
IF(AND(TblTrvlDetails[[#This Row],[D/I]]="I",TblTrvlDetails[[#This Row],[M&amp;IE Rates/Day
based on Rate Type]]&lt;=265,TblTrvlDetails[[#This Row],[Rate Type]]=Data!$Z$5),VLOOKUP(TblTrvlDetails[[#This Row],[Full Amt]],TblIntl2024[],5,FALSE),
IF(AND(TblTrvlDetails[[#This Row],[D/I]]="D",TblTrvlDetails[[#This Row],[Rate Type]]=Data!$Z$4),VLOOKUP(TblTrvlDetails[[#This Row],[Rate Unique '#]],newrate,6,0),
IF(AND(TblTrvlDetails[[#This Row],[D/I]]="D",TblTrvlDetails[[#This Row],[Rate Type]]=Data!$Z$5),VLOOKUP(TblTrvlDetails[[#This Row],[Rate Unique '#]],newrate,6,0),0)))))),0))))</f>
        <v>0</v>
      </c>
      <c r="X19" s="31">
        <f>SUM(IFERROR(SUMIFS(TblTrvlDetails[[#This Row],[Miles*]],TblTrvlDetails[[#This Row],[Travel Date
required]],"&lt;01/01/2025")*(VLOOKUP("Car Mileage",TblTransport[#All],2,FALSE)),0),IFERROR(SUMIFS(TblTrvlDetails[[#This Row],[Miles*]],TblTrvlDetails[[#This Row],[Travel Date
required]],"&gt;=01/01/2025")*(VLOOKUP("Car Mileage",TblTransport[#All],3,FALSE)),0),TblTrvlDetails[[#This Row],[M&amp;IE Total]:[Lodging*]],TblTrvlDetails[[#This Row],[Ground Transport*]:[Business Expense*]])</f>
        <v>0</v>
      </c>
      <c r="Y19" s="75">
        <v>0</v>
      </c>
      <c r="Z19" s="71" t="e">
        <f>IF(MONTH(TblTrvlDetails[[#This Row],[Travel Date
required]])&lt;10,YEAR(TblTrvlDetails[[#This Row],[Travel Date
required]]),YEAR(TblTrvlDetails[[#This Row],[Travel Date
required]])+1)</f>
        <v>#VALUE!</v>
      </c>
      <c r="AA19" s="72" t="e">
        <f>CONCATENATE(TblTrvlDetails[[#This Row],[GSA FY]],TblTrvlDetails[[#This Row],[Full Amt]])</f>
        <v>#VALUE!</v>
      </c>
    </row>
    <row r="20" spans="2:27" ht="20.45" customHeight="1" x14ac:dyDescent="0.25">
      <c r="B20" s="25"/>
      <c r="C20" s="26"/>
      <c r="D20" s="25"/>
      <c r="E20" s="27" t="str">
        <f>_xlfn.IFNA(IF(VLOOKUP(TblTrvlDetails[[#This Row],[Location]],TblDom[],2,FALSE)&lt;&gt;"International","D",IF(VLOOKUP(TblTrvlDetails[[#This Row],[Location]],TblDom[],2,FALSE)="International","I","")),"")</f>
        <v/>
      </c>
      <c r="F20" s="27">
        <f>IFERROR(
IF(AND(ISBLANK(TblTrvlDetails[[#This Row],[Rate Type]])),0,(
IF((TblTrvlDetails[[#This Row],[Rate Type]])="Not Claiming Per Diem",0,(
IF(AND(TblTrvlDetails[[#This Row],[Rate Type]]=Data!$Z$4,(OR(ISBLANK(TblTrvlDetails[[#This Row],[Location]]),VLOOKUP(TblTrvlDetails[[#This Row],[Location]],TblDom[],2,FALSE)="International"))), VLOOKUP(TblTrvlDetails[[#This Row],[Location]],TblDom[],3,FALSE)*0.75,
IF(AND(TblTrvlDetails[[#This Row],[Rate Type]]=Data!$Z$4,(OR(ISBLANK(TblTrvlDetails[[#This Row],[Location]]),VLOOKUP(TblTrvlDetails[[#This Row],[Location]],TblDom[],2,FALSE)&lt;=IF($G$4&lt;10/1/2025,HighestRate24,HighestRate25)))), VLOOKUP(TblTrvlDetails[[#This Row],[Location]],TblDom[],2,FALSE)*0.75,
IF(AND(TblTrvlDetails[[#This Row],[Rate Type]]=Data!$Z$5,(OR(ISBLANK(TblTrvlDetails[[#This Row],[Location]]),VLOOKUP(TblTrvlDetails[[#This Row],[Location]],TblDom[],2,FALSE)="International"))), VLOOKUP(TblTrvlDetails[[#This Row],[Location]],TblDom[],3,FALSE),
IF(AND(TblTrvlDetails[[#This Row],[Rate Type]]=Data!$Z$5,(OR(ISBLANK(TblTrvlDetails[[#This Row],[Location]]),VLOOKUP(TblTrvlDetails[[#This Row],[Location]],TblDom[],2,FALSE)&lt;=IF($G$4&lt;10/1/2025,HighestRate24,HighestRate25)))), VLOOKUP(TblTrvlDetails[[#This Row],[Location]],TblDom[],2,FALSE))))))))),0)</f>
        <v>0</v>
      </c>
      <c r="G20" s="28" t="str">
        <f>IF(ISBLANK(TblTrvlDetails[[#This Row],[Rate Type]])=TRUE,"","Enter Date")</f>
        <v/>
      </c>
      <c r="H20" s="29">
        <v>0</v>
      </c>
      <c r="I20" s="29">
        <v>0</v>
      </c>
      <c r="J20" s="29">
        <v>0</v>
      </c>
      <c r="K20" s="29">
        <v>0</v>
      </c>
      <c r="L20" s="27">
        <f>IF(TblTrvlDetails[[#This Row],[Travel Date
required]]="Enter Date",0,IF(TblTrvlDetails[[#This Row],[Travel Date
required]]="",0,IF(SUM(TblTrvlDetails[[#This Row],[Breakfast]:[Incidental Expenses]])=0,TblTrvlDetails[[#This Row],[M&amp;IE Rates/Day
based on Rate Type]],IFERROR(SUM(IF(TblTrvlDetails[[#This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20" s="30"/>
      <c r="N20" s="30"/>
      <c r="O20" s="26"/>
      <c r="P20" s="30"/>
      <c r="Q20" s="30"/>
      <c r="R20" s="30"/>
      <c r="S20" s="29">
        <f>IF(ISBLANK(TblTrvlDetails[[#This Row],[Location]]),0,IF(TblTrvlDetails[[#This Row],[D/I]]="I",VLOOKUP(TblTrvlDetails[[#This Row],[Location]],TblDom[],3,FALSE),VLOOKUP(TblTrvlDetails[[#This Row],[Location]],TblDom[],2,FALSE)))</f>
        <v>0</v>
      </c>
      <c r="T20" s="61">
        <f>IF($G20="Enter Date",0,
IF(AND($G20&lt;&gt;"Enter Date",$G20&lt;DATEVALUE("10/1/25")),
IFERROR((
IF(AND(TblTrvlDetails[[#This Row],[D/I]]="I",TblTrvlDetails[[#This Row],[M&amp;IE Rates/Day
based on Rate Type]]&gt;265),TblTrvlDetails[[#This Row],[M&amp;IE Rates/Day
based on Rate Type]]*Data!C9,
IF(AND(TblTrvlDetails[[#This Row],[D/I]]="I",TblTrvlDetails[[#This Row],[M&amp;IE Rates/Day
based on Rate Type]]&lt;=265,TblTrvlDetails[[#This Row],[Rate Type]]=Data!$Z$4),VLOOKUP(TblTrvlDetails[[#This Row],[Full Amt]],TblIntl[],2,FALSE),
IF(AND(TblTrvlDetails[[#This Row],[D/I]]="I",TblTrvlDetails[[#This Row],[M&amp;IE Rates/Day
based on Rate Type]]&lt;=265,TblTrvlDetails[[#This Row],[Rate Type]]=Data!$Z$5),VLOOKUP(TblTrvlDetails[[#This Row],[Full Amt]],TblIntl[],2,FALSE),
IF(AND(TblTrvlDetails[[#This Row],[D/I]]="D",TblTrvlDetails[[#This Row],[Rate Type]]=Data!$Z$4),VLOOKUP(TblTrvlDetails[[#This Row],[Rate Unique '#]],newrate,3,0),
IF(AND(TblTrvlDetails[[#This Row],[D/I]]="D",TblTrvlDetails[[#This Row],[Rate Type]]=Data!$Z$5),VLOOKUP(TblTrvlDetails[[#This Row],[Rate Unique '#]],newrate,3,0),0)))))),0),
IF($G20&gt;=DATEVALUE("10/1/25"),IFERROR((
IF(AND(TblTrvlDetails[[#This Row],[D/I]]="I",TblTrvlDetails[[#This Row],[M&amp;IE Rates/Day
based on Rate Type]]&gt;265),TblTrvlDetails[[#This Row],[M&amp;IE Rates/Day
based on Rate Type]]*Data!C9,
IF(AND(TblTrvlDetails[[#This Row],[D/I]]="I",TblTrvlDetails[[#This Row],[M&amp;IE Rates/Day
based on Rate Type]]&lt;=265,TblTrvlDetails[[#This Row],[Rate Type]]=Data!$Z$4),VLOOKUP(TblTrvlDetails[[#This Row],[Full Amt]],TblIntl2024[],2,FALSE),
IF(AND(TblTrvlDetails[[#This Row],[D/I]]="I",TblTrvlDetails[[#This Row],[M&amp;IE Rates/Day
based on Rate Type]]&lt;=265,TblTrvlDetails[[#This Row],[Rate Type]]=Data!$Z$5),VLOOKUP(TblTrvlDetails[[#This Row],[Full Amt]],TblIntl2024[],2,FALSE),
IF(AND(TblTrvlDetails[[#This Row],[D/I]]="D",TblTrvlDetails[[#This Row],[Rate Type]]=Data!$Z$4),VLOOKUP(TblTrvlDetails[[#This Row],[Rate Unique '#]],newrate,3,0),
IF(AND(TblTrvlDetails[[#This Row],[D/I]]="D",TblTrvlDetails[[#This Row],[Rate Type]]=Data!$Z$5),VLOOKUP(TblTrvlDetails[[#This Row],[Rate Unique '#]],newrate,3,0),0)))))),0))))</f>
        <v>0</v>
      </c>
      <c r="U20" s="61">
        <f>IF($G20="Enter Date",0,
IF(AND($G20&lt;&gt;"Enter Date",$G20&lt;DATEVALUE("10/1/25")),
IFERROR((
IF(AND(TblTrvlDetails[[#This Row],[D/I]]="I",TblTrvlDetails[[#This Row],[M&amp;IE Rates/Day
based on Rate Type]]&gt;265),TblTrvlDetails[[#This Row],[M&amp;IE Rates/Day
based on Rate Type]]*Data!C9,
IF(AND(TblTrvlDetails[[#This Row],[D/I]]="I",TblTrvlDetails[[#This Row],[M&amp;IE Rates/Day
based on Rate Type]]&lt;=265,TblTrvlDetails[[#This Row],[Rate Type]]=Data!$Z$4),VLOOKUP(TblTrvlDetails[[#This Row],[Full Amt]],TblIntl[],3,FALSE),
IF(AND(TblTrvlDetails[[#This Row],[D/I]]="I",TblTrvlDetails[[#This Row],[M&amp;IE Rates/Day
based on Rate Type]]&lt;=265,TblTrvlDetails[[#This Row],[Rate Type]]=Data!$Z$5),VLOOKUP(TblTrvlDetails[[#This Row],[Full Amt]],TblIntl[],3,FALSE),
IF(AND(TblTrvlDetails[[#This Row],[D/I]]="D",TblTrvlDetails[[#This Row],[Rate Type]]=Data!$Z$4),VLOOKUP(TblTrvlDetails[[#This Row],[Rate Unique '#]],newrate,4,0),
IF(AND(TblTrvlDetails[[#This Row],[D/I]]="D",TblTrvlDetails[[#This Row],[Rate Type]]=Data!$Z$5),VLOOKUP(TblTrvlDetails[[#This Row],[Rate Unique '#]],newrate,4,0),0)))))),0),
IF($G20&gt;=DATEVALUE("10/1/25"),IFERROR((
IF(AND(TblTrvlDetails[[#This Row],[D/I]]="I",TblTrvlDetails[[#This Row],[M&amp;IE Rates/Day
based on Rate Type]]&gt;265),TblTrvlDetails[[#This Row],[M&amp;IE Rates/Day
based on Rate Type]]*Data!C9,
IF(AND(TblTrvlDetails[[#This Row],[D/I]]="I",TblTrvlDetails[[#This Row],[M&amp;IE Rates/Day
based on Rate Type]]&lt;=265,TblTrvlDetails[[#This Row],[Rate Type]]=Data!$Z$4),VLOOKUP(TblTrvlDetails[[#This Row],[Full Amt]],TblIntl2024[],3,FALSE),
IF(AND(TblTrvlDetails[[#This Row],[D/I]]="I",TblTrvlDetails[[#This Row],[M&amp;IE Rates/Day
based on Rate Type]]&lt;=265,TblTrvlDetails[[#This Row],[Rate Type]]=Data!$Z$5),VLOOKUP(TblTrvlDetails[[#This Row],[Full Amt]],TblIntl2024[],3,FALSE),
IF(AND(TblTrvlDetails[[#This Row],[D/I]]="D",TblTrvlDetails[[#This Row],[Rate Type]]=Data!$Z$4),VLOOKUP(TblTrvlDetails[[#This Row],[Rate Unique '#]],newrate,4,0),
IF(AND(TblTrvlDetails[[#This Row],[D/I]]="D",TblTrvlDetails[[#This Row],[Rate Type]]=Data!$Z$5),VLOOKUP(TblTrvlDetails[[#This Row],[Rate Unique '#]],newrate,4,0),0)))))),0))))</f>
        <v>0</v>
      </c>
      <c r="V20" s="61">
        <f>IF($G20="Enter Date",0,
IF(AND($G20&lt;&gt;"Enter Date",$G20&lt;DATEVALUE("10/1/25")),
IFERROR((
IF(AND(TblTrvlDetails[[#This Row],[D/I]]="I",TblTrvlDetails[[#This Row],[M&amp;IE Rates/Day
based on Rate Type]]&gt;265),TblTrvlDetails[[#This Row],[M&amp;IE Rates/Day
based on Rate Type]]*Data!C9,
IF(AND(TblTrvlDetails[[#This Row],[D/I]]="I",TblTrvlDetails[[#This Row],[M&amp;IE Rates/Day
based on Rate Type]]&lt;=265,TblTrvlDetails[[#This Row],[Rate Type]]=Data!$Z$4),VLOOKUP(TblTrvlDetails[[#This Row],[Full Amt]],TblIntl[],4,FALSE),
IF(AND(TblTrvlDetails[[#This Row],[D/I]]="I",TblTrvlDetails[[#This Row],[M&amp;IE Rates/Day
based on Rate Type]]&lt;=265,TblTrvlDetails[[#This Row],[Rate Type]]=Data!$Z$5),VLOOKUP(TblTrvlDetails[[#This Row],[Full Amt]],TblIntl[],4,FALSE),
IF(AND(TblTrvlDetails[[#This Row],[D/I]]="D",TblTrvlDetails[[#This Row],[Rate Type]]=Data!$Z$4),VLOOKUP(TblTrvlDetails[[#This Row],[Rate Unique '#]],newrate,5,0),
IF(AND(TblTrvlDetails[[#This Row],[D/I]]="D",TblTrvlDetails[[#This Row],[Rate Type]]=Data!$Z$5),VLOOKUP(TblTrvlDetails[[#This Row],[Rate Unique '#]],newrate,5,0),0)))))),0),
IF($G20&gt;=DATEVALUE("10/1/25"),IFERROR((
IF(AND(TblTrvlDetails[[#This Row],[D/I]]="I",TblTrvlDetails[[#This Row],[M&amp;IE Rates/Day
based on Rate Type]]&gt;265),TblTrvlDetails[[#This Row],[M&amp;IE Rates/Day
based on Rate Type]]*Data!C9,
IF(AND(TblTrvlDetails[[#This Row],[D/I]]="I",TblTrvlDetails[[#This Row],[M&amp;IE Rates/Day
based on Rate Type]]&lt;=265,TblTrvlDetails[[#This Row],[Rate Type]]=Data!$Z$4),VLOOKUP(TblTrvlDetails[[#This Row],[Full Amt]],TblIntl2024[],4,FALSE),
IF(AND(TblTrvlDetails[[#This Row],[D/I]]="I",TblTrvlDetails[[#This Row],[M&amp;IE Rates/Day
based on Rate Type]]&lt;=265,TblTrvlDetails[[#This Row],[Rate Type]]=Data!$Z$5),VLOOKUP(TblTrvlDetails[[#This Row],[Full Amt]],TblIntl2024[],4,FALSE),
IF(AND(TblTrvlDetails[[#This Row],[D/I]]="D",TblTrvlDetails[[#This Row],[Rate Type]]=Data!$Z$4),VLOOKUP(TblTrvlDetails[[#This Row],[Rate Unique '#]],newrate,5,0),
IF(AND(TblTrvlDetails[[#This Row],[D/I]]="D",TblTrvlDetails[[#This Row],[Rate Type]]=Data!$Z$5),VLOOKUP(TblTrvlDetails[[#This Row],[Rate Unique '#]],newrate,5,0),0)))))),0))))</f>
        <v>0</v>
      </c>
      <c r="W20" s="27">
        <f>IF($G20="Enter Date",0,
IF(AND($G20&lt;&gt;"Enter Date",$G20&lt;DATEVALUE("10/1/25")),
IFERROR((
IF(AND(TblTrvlDetails[[#This Row],[D/I]]="I",TblTrvlDetails[[#This Row],[M&amp;IE Rates/Day
based on Rate Type]]&gt;265),TblTrvlDetails[[#This Row],[M&amp;IE Rates/Day
based on Rate Type]]*Data!C9,
IF(AND(TblTrvlDetails[[#This Row],[D/I]]="I",TblTrvlDetails[[#This Row],[M&amp;IE Rates/Day
based on Rate Type]]&lt;=265,TblTrvlDetails[[#This Row],[Rate Type]]=Data!$Z$4),VLOOKUP(TblTrvlDetails[[#This Row],[Full Amt]],TblIntl[],5,FALSE),
IF(AND(TblTrvlDetails[[#This Row],[D/I]]="I",TblTrvlDetails[[#This Row],[M&amp;IE Rates/Day
based on Rate Type]]&lt;=265,TblTrvlDetails[[#This Row],[Rate Type]]=Data!$Z$5),VLOOKUP(TblTrvlDetails[[#This Row],[Full Amt]],TblIntl[],5,FALSE),
IF(AND(TblTrvlDetails[[#This Row],[D/I]]="D",TblTrvlDetails[[#This Row],[Rate Type]]=Data!$Z$4),VLOOKUP(TblTrvlDetails[[#This Row],[Rate Unique '#]],newrate,6,0),
IF(AND(TblTrvlDetails[[#This Row],[D/I]]="D",TblTrvlDetails[[#This Row],[Rate Type]]=Data!$Z$5),VLOOKUP(TblTrvlDetails[[#This Row],[Rate Unique '#]],newrate,6,0),0)))))),0),
IF($G20&gt;=DATEVALUE("10/1/25"),IFERROR((
IF(AND(TblTrvlDetails[[#This Row],[D/I]]="I",TblTrvlDetails[[#This Row],[M&amp;IE Rates/Day
based on Rate Type]]&gt;265),TblTrvlDetails[[#This Row],[M&amp;IE Rates/Day
based on Rate Type]]*Data!C9,
IF(AND(TblTrvlDetails[[#This Row],[D/I]]="I",TblTrvlDetails[[#This Row],[M&amp;IE Rates/Day
based on Rate Type]]&lt;=265,TblTrvlDetails[[#This Row],[Rate Type]]=Data!$Z$4),VLOOKUP(TblTrvlDetails[[#This Row],[Full Amt]],TblIntl2024[],5,FALSE),
IF(AND(TblTrvlDetails[[#This Row],[D/I]]="I",TblTrvlDetails[[#This Row],[M&amp;IE Rates/Day
based on Rate Type]]&lt;=265,TblTrvlDetails[[#This Row],[Rate Type]]=Data!$Z$5),VLOOKUP(TblTrvlDetails[[#This Row],[Full Amt]],TblIntl2024[],5,FALSE),
IF(AND(TblTrvlDetails[[#This Row],[D/I]]="D",TblTrvlDetails[[#This Row],[Rate Type]]=Data!$Z$4),VLOOKUP(TblTrvlDetails[[#This Row],[Rate Unique '#]],newrate,6,0),
IF(AND(TblTrvlDetails[[#This Row],[D/I]]="D",TblTrvlDetails[[#This Row],[Rate Type]]=Data!$Z$5),VLOOKUP(TblTrvlDetails[[#This Row],[Rate Unique '#]],newrate,6,0),0)))))),0))))</f>
        <v>0</v>
      </c>
      <c r="X20" s="31">
        <f>SUM(IFERROR(SUMIFS(TblTrvlDetails[[#This Row],[Miles*]],TblTrvlDetails[[#This Row],[Travel Date
required]],"&lt;01/01/2025")*(VLOOKUP("Car Mileage",TblTransport[#All],2,FALSE)),0),IFERROR(SUMIFS(TblTrvlDetails[[#This Row],[Miles*]],TblTrvlDetails[[#This Row],[Travel Date
required]],"&gt;=01/01/2025")*(VLOOKUP("Car Mileage",TblTransport[#All],3,FALSE)),0),TblTrvlDetails[[#This Row],[M&amp;IE Total]:[Lodging*]],TblTrvlDetails[[#This Row],[Ground Transport*]:[Business Expense*]])</f>
        <v>0</v>
      </c>
      <c r="Y20" s="75">
        <v>0</v>
      </c>
      <c r="Z20" s="71" t="e">
        <f>IF(MONTH(TblTrvlDetails[[#This Row],[Travel Date
required]])&lt;10,YEAR(TblTrvlDetails[[#This Row],[Travel Date
required]]),YEAR(TblTrvlDetails[[#This Row],[Travel Date
required]])+1)</f>
        <v>#VALUE!</v>
      </c>
      <c r="AA20" s="72" t="e">
        <f>CONCATENATE(TblTrvlDetails[[#This Row],[GSA FY]],TblTrvlDetails[[#This Row],[Full Amt]])</f>
        <v>#VALUE!</v>
      </c>
    </row>
    <row r="21" spans="2:27" ht="20.45" customHeight="1" x14ac:dyDescent="0.25">
      <c r="B21" s="25"/>
      <c r="C21" s="26"/>
      <c r="D21" s="25"/>
      <c r="E21" s="27" t="str">
        <f>_xlfn.IFNA(IF(VLOOKUP(TblTrvlDetails[[#This Row],[Location]],TblDom[],2,FALSE)&lt;&gt;"International","D",IF(VLOOKUP(TblTrvlDetails[[#This Row],[Location]],TblDom[],2,FALSE)="International","I","")),"")</f>
        <v/>
      </c>
      <c r="F21" s="27">
        <f>IFERROR(
IF(AND(ISBLANK(TblTrvlDetails[[#This Row],[Rate Type]])),0,(
IF((TblTrvlDetails[[#This Row],[Rate Type]])="Not Claiming Per Diem",0,(
IF(AND(TblTrvlDetails[[#This Row],[Rate Type]]=Data!$Z$4,(OR(ISBLANK(TblTrvlDetails[[#This Row],[Location]]),VLOOKUP(TblTrvlDetails[[#This Row],[Location]],TblDom[],2,FALSE)="International"))), VLOOKUP(TblTrvlDetails[[#This Row],[Location]],TblDom[],3,FALSE)*0.75,
IF(AND(TblTrvlDetails[[#This Row],[Rate Type]]=Data!$Z$4,(OR(ISBLANK(TblTrvlDetails[[#This Row],[Location]]),VLOOKUP(TblTrvlDetails[[#This Row],[Location]],TblDom[],2,FALSE)&lt;=IF($G$4&lt;10/1/2025,HighestRate24,HighestRate25)))), VLOOKUP(TblTrvlDetails[[#This Row],[Location]],TblDom[],2,FALSE)*0.75,
IF(AND(TblTrvlDetails[[#This Row],[Rate Type]]=Data!$Z$5,(OR(ISBLANK(TblTrvlDetails[[#This Row],[Location]]),VLOOKUP(TblTrvlDetails[[#This Row],[Location]],TblDom[],2,FALSE)="International"))), VLOOKUP(TblTrvlDetails[[#This Row],[Location]],TblDom[],3,FALSE),
IF(AND(TblTrvlDetails[[#This Row],[Rate Type]]=Data!$Z$5,(OR(ISBLANK(TblTrvlDetails[[#This Row],[Location]]),VLOOKUP(TblTrvlDetails[[#This Row],[Location]],TblDom[],2,FALSE)&lt;=IF($G$4&lt;10/1/2025,HighestRate24,HighestRate25)))), VLOOKUP(TblTrvlDetails[[#This Row],[Location]],TblDom[],2,FALSE))))))))),0)</f>
        <v>0</v>
      </c>
      <c r="G21" s="28" t="str">
        <f>IF(ISBLANK(TblTrvlDetails[[#This Row],[Rate Type]])=TRUE,"","Enter Date")</f>
        <v/>
      </c>
      <c r="H21" s="29">
        <v>0</v>
      </c>
      <c r="I21" s="29">
        <v>0</v>
      </c>
      <c r="J21" s="29">
        <v>0</v>
      </c>
      <c r="K21" s="29">
        <v>0</v>
      </c>
      <c r="L21" s="27">
        <f>IF(TblTrvlDetails[[#This Row],[Travel Date
required]]="Enter Date",0,IF(TblTrvlDetails[[#This Row],[Travel Date
required]]="",0,IF(SUM(TblTrvlDetails[[#This Row],[Breakfast]:[Incidental Expenses]])=0,TblTrvlDetails[[#This Row],[M&amp;IE Rates/Day
based on Rate Type]],IFERROR(SUM(IF(TblTrvlDetails[[#This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21" s="30"/>
      <c r="N21" s="30"/>
      <c r="O21" s="26"/>
      <c r="P21" s="30"/>
      <c r="Q21" s="30"/>
      <c r="R21" s="30"/>
      <c r="S21" s="29">
        <f>IF(ISBLANK(TblTrvlDetails[[#This Row],[Location]]),0,IF(TblTrvlDetails[[#This Row],[D/I]]="I",VLOOKUP(TblTrvlDetails[[#This Row],[Location]],TblDom[],3,FALSE),VLOOKUP(TblTrvlDetails[[#This Row],[Location]],TblDom[],2,FALSE)))</f>
        <v>0</v>
      </c>
      <c r="T21" s="61">
        <f>IF($G21="Enter Date",0,
IF(AND($G21&lt;&gt;"Enter Date",$G21&lt;DATEVALUE("10/1/25")),
IFERROR((
IF(AND(TblTrvlDetails[[#This Row],[D/I]]="I",TblTrvlDetails[[#This Row],[M&amp;IE Rates/Day
based on Rate Type]]&gt;265),TblTrvlDetails[[#This Row],[M&amp;IE Rates/Day
based on Rate Type]]*Data!C10,
IF(AND(TblTrvlDetails[[#This Row],[D/I]]="I",TblTrvlDetails[[#This Row],[M&amp;IE Rates/Day
based on Rate Type]]&lt;=265,TblTrvlDetails[[#This Row],[Rate Type]]=Data!$Z$4),VLOOKUP(TblTrvlDetails[[#This Row],[Full Amt]],TblIntl[],2,FALSE),
IF(AND(TblTrvlDetails[[#This Row],[D/I]]="I",TblTrvlDetails[[#This Row],[M&amp;IE Rates/Day
based on Rate Type]]&lt;=265,TblTrvlDetails[[#This Row],[Rate Type]]=Data!$Z$5),VLOOKUP(TblTrvlDetails[[#This Row],[Full Amt]],TblIntl[],2,FALSE),
IF(AND(TblTrvlDetails[[#This Row],[D/I]]="D",TblTrvlDetails[[#This Row],[Rate Type]]=Data!$Z$4),VLOOKUP(TblTrvlDetails[[#This Row],[Rate Unique '#]],newrate,3,0),
IF(AND(TblTrvlDetails[[#This Row],[D/I]]="D",TblTrvlDetails[[#This Row],[Rate Type]]=Data!$Z$5),VLOOKUP(TblTrvlDetails[[#This Row],[Rate Unique '#]],newrate,3,0),0)))))),0),
IF($G21&gt;=DATEVALUE("10/1/25"),IFERROR((
IF(AND(TblTrvlDetails[[#This Row],[D/I]]="I",TblTrvlDetails[[#This Row],[M&amp;IE Rates/Day
based on Rate Type]]&gt;265),TblTrvlDetails[[#This Row],[M&amp;IE Rates/Day
based on Rate Type]]*Data!C10,
IF(AND(TblTrvlDetails[[#This Row],[D/I]]="I",TblTrvlDetails[[#This Row],[M&amp;IE Rates/Day
based on Rate Type]]&lt;=265,TblTrvlDetails[[#This Row],[Rate Type]]=Data!$Z$4),VLOOKUP(TblTrvlDetails[[#This Row],[Full Amt]],TblIntl2024[],2,FALSE),
IF(AND(TblTrvlDetails[[#This Row],[D/I]]="I",TblTrvlDetails[[#This Row],[M&amp;IE Rates/Day
based on Rate Type]]&lt;=265,TblTrvlDetails[[#This Row],[Rate Type]]=Data!$Z$5),VLOOKUP(TblTrvlDetails[[#This Row],[Full Amt]],TblIntl2024[],2,FALSE),
IF(AND(TblTrvlDetails[[#This Row],[D/I]]="D",TblTrvlDetails[[#This Row],[Rate Type]]=Data!$Z$4),VLOOKUP(TblTrvlDetails[[#This Row],[Rate Unique '#]],newrate,3,0),
IF(AND(TblTrvlDetails[[#This Row],[D/I]]="D",TblTrvlDetails[[#This Row],[Rate Type]]=Data!$Z$5),VLOOKUP(TblTrvlDetails[[#This Row],[Rate Unique '#]],newrate,3,0),0)))))),0))))</f>
        <v>0</v>
      </c>
      <c r="U21" s="61">
        <f>IF($G21="Enter Date",0,
IF(AND($G21&lt;&gt;"Enter Date",$G21&lt;DATEVALUE("10/1/25")),
IFERROR((
IF(AND(TblTrvlDetails[[#This Row],[D/I]]="I",TblTrvlDetails[[#This Row],[M&amp;IE Rates/Day
based on Rate Type]]&gt;265),TblTrvlDetails[[#This Row],[M&amp;IE Rates/Day
based on Rate Type]]*Data!C10,
IF(AND(TblTrvlDetails[[#This Row],[D/I]]="I",TblTrvlDetails[[#This Row],[M&amp;IE Rates/Day
based on Rate Type]]&lt;=265,TblTrvlDetails[[#This Row],[Rate Type]]=Data!$Z$4),VLOOKUP(TblTrvlDetails[[#This Row],[Full Amt]],TblIntl[],3,FALSE),
IF(AND(TblTrvlDetails[[#This Row],[D/I]]="I",TblTrvlDetails[[#This Row],[M&amp;IE Rates/Day
based on Rate Type]]&lt;=265,TblTrvlDetails[[#This Row],[Rate Type]]=Data!$Z$5),VLOOKUP(TblTrvlDetails[[#This Row],[Full Amt]],TblIntl[],3,FALSE),
IF(AND(TblTrvlDetails[[#This Row],[D/I]]="D",TblTrvlDetails[[#This Row],[Rate Type]]=Data!$Z$4),VLOOKUP(TblTrvlDetails[[#This Row],[Rate Unique '#]],newrate,4,0),
IF(AND(TblTrvlDetails[[#This Row],[D/I]]="D",TblTrvlDetails[[#This Row],[Rate Type]]=Data!$Z$5),VLOOKUP(TblTrvlDetails[[#This Row],[Rate Unique '#]],newrate,4,0),0)))))),0),
IF($G21&gt;=DATEVALUE("10/1/25"),IFERROR((
IF(AND(TblTrvlDetails[[#This Row],[D/I]]="I",TblTrvlDetails[[#This Row],[M&amp;IE Rates/Day
based on Rate Type]]&gt;265),TblTrvlDetails[[#This Row],[M&amp;IE Rates/Day
based on Rate Type]]*Data!C10,
IF(AND(TblTrvlDetails[[#This Row],[D/I]]="I",TblTrvlDetails[[#This Row],[M&amp;IE Rates/Day
based on Rate Type]]&lt;=265,TblTrvlDetails[[#This Row],[Rate Type]]=Data!$Z$4),VLOOKUP(TblTrvlDetails[[#This Row],[Full Amt]],TblIntl2024[],3,FALSE),
IF(AND(TblTrvlDetails[[#This Row],[D/I]]="I",TblTrvlDetails[[#This Row],[M&amp;IE Rates/Day
based on Rate Type]]&lt;=265,TblTrvlDetails[[#This Row],[Rate Type]]=Data!$Z$5),VLOOKUP(TblTrvlDetails[[#This Row],[Full Amt]],TblIntl2024[],3,FALSE),
IF(AND(TblTrvlDetails[[#This Row],[D/I]]="D",TblTrvlDetails[[#This Row],[Rate Type]]=Data!$Z$4),VLOOKUP(TblTrvlDetails[[#This Row],[Rate Unique '#]],newrate,4,0),
IF(AND(TblTrvlDetails[[#This Row],[D/I]]="D",TblTrvlDetails[[#This Row],[Rate Type]]=Data!$Z$5),VLOOKUP(TblTrvlDetails[[#This Row],[Rate Unique '#]],newrate,4,0),0)))))),0))))</f>
        <v>0</v>
      </c>
      <c r="V21" s="61">
        <f>IF($G21="Enter Date",0,
IF(AND($G21&lt;&gt;"Enter Date",$G21&lt;DATEVALUE("10/1/25")),
IFERROR((
IF(AND(TblTrvlDetails[[#This Row],[D/I]]="I",TblTrvlDetails[[#This Row],[M&amp;IE Rates/Day
based on Rate Type]]&gt;265),TblTrvlDetails[[#This Row],[M&amp;IE Rates/Day
based on Rate Type]]*Data!C10,
IF(AND(TblTrvlDetails[[#This Row],[D/I]]="I",TblTrvlDetails[[#This Row],[M&amp;IE Rates/Day
based on Rate Type]]&lt;=265,TblTrvlDetails[[#This Row],[Rate Type]]=Data!$Z$4),VLOOKUP(TblTrvlDetails[[#This Row],[Full Amt]],TblIntl[],4,FALSE),
IF(AND(TblTrvlDetails[[#This Row],[D/I]]="I",TblTrvlDetails[[#This Row],[M&amp;IE Rates/Day
based on Rate Type]]&lt;=265,TblTrvlDetails[[#This Row],[Rate Type]]=Data!$Z$5),VLOOKUP(TblTrvlDetails[[#This Row],[Full Amt]],TblIntl[],4,FALSE),
IF(AND(TblTrvlDetails[[#This Row],[D/I]]="D",TblTrvlDetails[[#This Row],[Rate Type]]=Data!$Z$4),VLOOKUP(TblTrvlDetails[[#This Row],[Rate Unique '#]],newrate,5,0),
IF(AND(TblTrvlDetails[[#This Row],[D/I]]="D",TblTrvlDetails[[#This Row],[Rate Type]]=Data!$Z$5),VLOOKUP(TblTrvlDetails[[#This Row],[Rate Unique '#]],newrate,5,0),0)))))),0),
IF($G21&gt;=DATEVALUE("10/1/25"),IFERROR((
IF(AND(TblTrvlDetails[[#This Row],[D/I]]="I",TblTrvlDetails[[#This Row],[M&amp;IE Rates/Day
based on Rate Type]]&gt;265),TblTrvlDetails[[#This Row],[M&amp;IE Rates/Day
based on Rate Type]]*Data!C10,
IF(AND(TblTrvlDetails[[#This Row],[D/I]]="I",TblTrvlDetails[[#This Row],[M&amp;IE Rates/Day
based on Rate Type]]&lt;=265,TblTrvlDetails[[#This Row],[Rate Type]]=Data!$Z$4),VLOOKUP(TblTrvlDetails[[#This Row],[Full Amt]],TblIntl2024[],4,FALSE),
IF(AND(TblTrvlDetails[[#This Row],[D/I]]="I",TblTrvlDetails[[#This Row],[M&amp;IE Rates/Day
based on Rate Type]]&lt;=265,TblTrvlDetails[[#This Row],[Rate Type]]=Data!$Z$5),VLOOKUP(TblTrvlDetails[[#This Row],[Full Amt]],TblIntl2024[],4,FALSE),
IF(AND(TblTrvlDetails[[#This Row],[D/I]]="D",TblTrvlDetails[[#This Row],[Rate Type]]=Data!$Z$4),VLOOKUP(TblTrvlDetails[[#This Row],[Rate Unique '#]],newrate,5,0),
IF(AND(TblTrvlDetails[[#This Row],[D/I]]="D",TblTrvlDetails[[#This Row],[Rate Type]]=Data!$Z$5),VLOOKUP(TblTrvlDetails[[#This Row],[Rate Unique '#]],newrate,5,0),0)))))),0))))</f>
        <v>0</v>
      </c>
      <c r="W21" s="27">
        <f>IF($G21="Enter Date",0,
IF(AND($G21&lt;&gt;"Enter Date",$G21&lt;DATEVALUE("10/1/25")),
IFERROR((
IF(AND(TblTrvlDetails[[#This Row],[D/I]]="I",TblTrvlDetails[[#This Row],[M&amp;IE Rates/Day
based on Rate Type]]&gt;265),TblTrvlDetails[[#This Row],[M&amp;IE Rates/Day
based on Rate Type]]*Data!C10,
IF(AND(TblTrvlDetails[[#This Row],[D/I]]="I",TblTrvlDetails[[#This Row],[M&amp;IE Rates/Day
based on Rate Type]]&lt;=265,TblTrvlDetails[[#This Row],[Rate Type]]=Data!$Z$4),VLOOKUP(TblTrvlDetails[[#This Row],[Full Amt]],TblIntl[],5,FALSE),
IF(AND(TblTrvlDetails[[#This Row],[D/I]]="I",TblTrvlDetails[[#This Row],[M&amp;IE Rates/Day
based on Rate Type]]&lt;=265,TblTrvlDetails[[#This Row],[Rate Type]]=Data!$Z$5),VLOOKUP(TblTrvlDetails[[#This Row],[Full Amt]],TblIntl[],5,FALSE),
IF(AND(TblTrvlDetails[[#This Row],[D/I]]="D",TblTrvlDetails[[#This Row],[Rate Type]]=Data!$Z$4),VLOOKUP(TblTrvlDetails[[#This Row],[Rate Unique '#]],newrate,6,0),
IF(AND(TblTrvlDetails[[#This Row],[D/I]]="D",TblTrvlDetails[[#This Row],[Rate Type]]=Data!$Z$5),VLOOKUP(TblTrvlDetails[[#This Row],[Rate Unique '#]],newrate,6,0),0)))))),0),
IF($G21&gt;=DATEVALUE("10/1/25"),IFERROR((
IF(AND(TblTrvlDetails[[#This Row],[D/I]]="I",TblTrvlDetails[[#This Row],[M&amp;IE Rates/Day
based on Rate Type]]&gt;265),TblTrvlDetails[[#This Row],[M&amp;IE Rates/Day
based on Rate Type]]*Data!C10,
IF(AND(TblTrvlDetails[[#This Row],[D/I]]="I",TblTrvlDetails[[#This Row],[M&amp;IE Rates/Day
based on Rate Type]]&lt;=265,TblTrvlDetails[[#This Row],[Rate Type]]=Data!$Z$4),VLOOKUP(TblTrvlDetails[[#This Row],[Full Amt]],TblIntl2024[],5,FALSE),
IF(AND(TblTrvlDetails[[#This Row],[D/I]]="I",TblTrvlDetails[[#This Row],[M&amp;IE Rates/Day
based on Rate Type]]&lt;=265,TblTrvlDetails[[#This Row],[Rate Type]]=Data!$Z$5),VLOOKUP(TblTrvlDetails[[#This Row],[Full Amt]],TblIntl2024[],5,FALSE),
IF(AND(TblTrvlDetails[[#This Row],[D/I]]="D",TblTrvlDetails[[#This Row],[Rate Type]]=Data!$Z$4),VLOOKUP(TblTrvlDetails[[#This Row],[Rate Unique '#]],newrate,6,0),
IF(AND(TblTrvlDetails[[#This Row],[D/I]]="D",TblTrvlDetails[[#This Row],[Rate Type]]=Data!$Z$5),VLOOKUP(TblTrvlDetails[[#This Row],[Rate Unique '#]],newrate,6,0),0)))))),0))))</f>
        <v>0</v>
      </c>
      <c r="X21" s="31">
        <f>SUM(IFERROR(SUMIFS(TblTrvlDetails[[#This Row],[Miles*]],TblTrvlDetails[[#This Row],[Travel Date
required]],"&lt;01/01/2025")*(VLOOKUP("Car Mileage",TblTransport[#All],2,FALSE)),0),IFERROR(SUMIFS(TblTrvlDetails[[#This Row],[Miles*]],TblTrvlDetails[[#This Row],[Travel Date
required]],"&gt;=01/01/2025")*(VLOOKUP("Car Mileage",TblTransport[#All],3,FALSE)),0),TblTrvlDetails[[#This Row],[M&amp;IE Total]:[Lodging*]],TblTrvlDetails[[#This Row],[Ground Transport*]:[Business Expense*]])</f>
        <v>0</v>
      </c>
      <c r="Y21" s="75">
        <v>0</v>
      </c>
      <c r="Z21" s="71" t="e">
        <f>IF(MONTH(TblTrvlDetails[[#This Row],[Travel Date
required]])&lt;10,YEAR(TblTrvlDetails[[#This Row],[Travel Date
required]]),YEAR(TblTrvlDetails[[#This Row],[Travel Date
required]])+1)</f>
        <v>#VALUE!</v>
      </c>
      <c r="AA21" s="72" t="e">
        <f>CONCATENATE(TblTrvlDetails[[#This Row],[GSA FY]],TblTrvlDetails[[#This Row],[Full Amt]])</f>
        <v>#VALUE!</v>
      </c>
    </row>
    <row r="22" spans="2:27" ht="20.45" customHeight="1" x14ac:dyDescent="0.25">
      <c r="B22" s="25"/>
      <c r="C22" s="26"/>
      <c r="D22" s="25"/>
      <c r="E22" s="27" t="str">
        <f>_xlfn.IFNA(IF(VLOOKUP(TblTrvlDetails[[#This Row],[Location]],TblDom[],2,FALSE)&lt;&gt;"International","D",IF(VLOOKUP(TblTrvlDetails[[#This Row],[Location]],TblDom[],2,FALSE)="International","I","")),"")</f>
        <v/>
      </c>
      <c r="F22" s="27">
        <f>IFERROR(
IF(AND(ISBLANK(TblTrvlDetails[[#This Row],[Rate Type]])),0,(
IF((TblTrvlDetails[[#This Row],[Rate Type]])="Not Claiming Per Diem",0,(
IF(AND(TblTrvlDetails[[#This Row],[Rate Type]]=Data!$Z$4,(OR(ISBLANK(TblTrvlDetails[[#This Row],[Location]]),VLOOKUP(TblTrvlDetails[[#This Row],[Location]],TblDom[],2,FALSE)="International"))), VLOOKUP(TblTrvlDetails[[#This Row],[Location]],TblDom[],3,FALSE)*0.75,
IF(AND(TblTrvlDetails[[#This Row],[Rate Type]]=Data!$Z$4,(OR(ISBLANK(TblTrvlDetails[[#This Row],[Location]]),VLOOKUP(TblTrvlDetails[[#This Row],[Location]],TblDom[],2,FALSE)&lt;=IF($G$4&lt;10/1/2025,HighestRate24,HighestRate25)))), VLOOKUP(TblTrvlDetails[[#This Row],[Location]],TblDom[],2,FALSE)*0.75,
IF(AND(TblTrvlDetails[[#This Row],[Rate Type]]=Data!$Z$5,(OR(ISBLANK(TblTrvlDetails[[#This Row],[Location]]),VLOOKUP(TblTrvlDetails[[#This Row],[Location]],TblDom[],2,FALSE)="International"))), VLOOKUP(TblTrvlDetails[[#This Row],[Location]],TblDom[],3,FALSE),
IF(AND(TblTrvlDetails[[#This Row],[Rate Type]]=Data!$Z$5,(OR(ISBLANK(TblTrvlDetails[[#This Row],[Location]]),VLOOKUP(TblTrvlDetails[[#This Row],[Location]],TblDom[],2,FALSE)&lt;=IF($G$4&lt;10/1/2025,HighestRate24,HighestRate25)))), VLOOKUP(TblTrvlDetails[[#This Row],[Location]],TblDom[],2,FALSE))))))))),0)</f>
        <v>0</v>
      </c>
      <c r="G22" s="28" t="str">
        <f>IF(ISBLANK(TblTrvlDetails[[#This Row],[Rate Type]])=TRUE,"","Enter Date")</f>
        <v/>
      </c>
      <c r="H22" s="29">
        <v>0</v>
      </c>
      <c r="I22" s="29">
        <v>0</v>
      </c>
      <c r="J22" s="29">
        <v>0</v>
      </c>
      <c r="K22" s="29">
        <v>0</v>
      </c>
      <c r="L22" s="27">
        <f>IF(TblTrvlDetails[[#This Row],[Travel Date
required]]="Enter Date",0,IF(TblTrvlDetails[[#This Row],[Travel Date
required]]="",0,IF(SUM(TblTrvlDetails[[#This Row],[Breakfast]:[Incidental Expenses]])=0,TblTrvlDetails[[#This Row],[M&amp;IE Rates/Day
based on Rate Type]],IFERROR(SUM(IF(TblTrvlDetails[[#This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22" s="30"/>
      <c r="N22" s="30"/>
      <c r="O22" s="26"/>
      <c r="P22" s="30"/>
      <c r="Q22" s="30"/>
      <c r="R22" s="30"/>
      <c r="S22" s="29">
        <f>IF(ISBLANK(TblTrvlDetails[[#This Row],[Location]]),0,IF(TblTrvlDetails[[#This Row],[D/I]]="I",VLOOKUP(TblTrvlDetails[[#This Row],[Location]],TblDom[],3,FALSE),VLOOKUP(TblTrvlDetails[[#This Row],[Location]],TblDom[],2,FALSE)))</f>
        <v>0</v>
      </c>
      <c r="T22" s="61">
        <f>IF($G22="Enter Date",0,
IF(AND($G22&lt;&gt;"Enter Date",$G22&lt;DATEVALUE("10/1/25")),
IFERROR((
IF(AND(TblTrvlDetails[[#This Row],[D/I]]="I",TblTrvlDetails[[#This Row],[M&amp;IE Rates/Day
based on Rate Type]]&gt;265),TblTrvlDetails[[#This Row],[M&amp;IE Rates/Day
based on Rate Type]]*Data!C11,
IF(AND(TblTrvlDetails[[#This Row],[D/I]]="I",TblTrvlDetails[[#This Row],[M&amp;IE Rates/Day
based on Rate Type]]&lt;=265,TblTrvlDetails[[#This Row],[Rate Type]]=Data!$Z$4),VLOOKUP(TblTrvlDetails[[#This Row],[Full Amt]],TblIntl[],2,FALSE),
IF(AND(TblTrvlDetails[[#This Row],[D/I]]="I",TblTrvlDetails[[#This Row],[M&amp;IE Rates/Day
based on Rate Type]]&lt;=265,TblTrvlDetails[[#This Row],[Rate Type]]=Data!$Z$5),VLOOKUP(TblTrvlDetails[[#This Row],[Full Amt]],TblIntl[],2,FALSE),
IF(AND(TblTrvlDetails[[#This Row],[D/I]]="D",TblTrvlDetails[[#This Row],[Rate Type]]=Data!$Z$4),VLOOKUP(TblTrvlDetails[[#This Row],[Rate Unique '#]],newrate,3,0),
IF(AND(TblTrvlDetails[[#This Row],[D/I]]="D",TblTrvlDetails[[#This Row],[Rate Type]]=Data!$Z$5),VLOOKUP(TblTrvlDetails[[#This Row],[Rate Unique '#]],newrate,3,0),0)))))),0),
IF($G22&gt;=DATEVALUE("10/1/25"),IFERROR((
IF(AND(TblTrvlDetails[[#This Row],[D/I]]="I",TblTrvlDetails[[#This Row],[M&amp;IE Rates/Day
based on Rate Type]]&gt;265),TblTrvlDetails[[#This Row],[M&amp;IE Rates/Day
based on Rate Type]]*Data!C11,
IF(AND(TblTrvlDetails[[#This Row],[D/I]]="I",TblTrvlDetails[[#This Row],[M&amp;IE Rates/Day
based on Rate Type]]&lt;=265,TblTrvlDetails[[#This Row],[Rate Type]]=Data!$Z$4),VLOOKUP(TblTrvlDetails[[#This Row],[Full Amt]],TblIntl2024[],2,FALSE),
IF(AND(TblTrvlDetails[[#This Row],[D/I]]="I",TblTrvlDetails[[#This Row],[M&amp;IE Rates/Day
based on Rate Type]]&lt;=265,TblTrvlDetails[[#This Row],[Rate Type]]=Data!$Z$5),VLOOKUP(TblTrvlDetails[[#This Row],[Full Amt]],TblIntl2024[],2,FALSE),
IF(AND(TblTrvlDetails[[#This Row],[D/I]]="D",TblTrvlDetails[[#This Row],[Rate Type]]=Data!$Z$4),VLOOKUP(TblTrvlDetails[[#This Row],[Rate Unique '#]],newrate,3,0),
IF(AND(TblTrvlDetails[[#This Row],[D/I]]="D",TblTrvlDetails[[#This Row],[Rate Type]]=Data!$Z$5),VLOOKUP(TblTrvlDetails[[#This Row],[Rate Unique '#]],newrate,3,0),0)))))),0))))</f>
        <v>0</v>
      </c>
      <c r="U22" s="61">
        <f>IF($G22="Enter Date",0,
IF(AND($G22&lt;&gt;"Enter Date",$G22&lt;DATEVALUE("10/1/25")),
IFERROR((
IF(AND(TblTrvlDetails[[#This Row],[D/I]]="I",TblTrvlDetails[[#This Row],[M&amp;IE Rates/Day
based on Rate Type]]&gt;265),TblTrvlDetails[[#This Row],[M&amp;IE Rates/Day
based on Rate Type]]*Data!C11,
IF(AND(TblTrvlDetails[[#This Row],[D/I]]="I",TblTrvlDetails[[#This Row],[M&amp;IE Rates/Day
based on Rate Type]]&lt;=265,TblTrvlDetails[[#This Row],[Rate Type]]=Data!$Z$4),VLOOKUP(TblTrvlDetails[[#This Row],[Full Amt]],TblIntl[],3,FALSE),
IF(AND(TblTrvlDetails[[#This Row],[D/I]]="I",TblTrvlDetails[[#This Row],[M&amp;IE Rates/Day
based on Rate Type]]&lt;=265,TblTrvlDetails[[#This Row],[Rate Type]]=Data!$Z$5),VLOOKUP(TblTrvlDetails[[#This Row],[Full Amt]],TblIntl[],3,FALSE),
IF(AND(TblTrvlDetails[[#This Row],[D/I]]="D",TblTrvlDetails[[#This Row],[Rate Type]]=Data!$Z$4),VLOOKUP(TblTrvlDetails[[#This Row],[Rate Unique '#]],newrate,4,0),
IF(AND(TblTrvlDetails[[#This Row],[D/I]]="D",TblTrvlDetails[[#This Row],[Rate Type]]=Data!$Z$5),VLOOKUP(TblTrvlDetails[[#This Row],[Rate Unique '#]],newrate,4,0),0)))))),0),
IF($G22&gt;=DATEVALUE("10/1/25"),IFERROR((
IF(AND(TblTrvlDetails[[#This Row],[D/I]]="I",TblTrvlDetails[[#This Row],[M&amp;IE Rates/Day
based on Rate Type]]&gt;265),TblTrvlDetails[[#This Row],[M&amp;IE Rates/Day
based on Rate Type]]*Data!C11,
IF(AND(TblTrvlDetails[[#This Row],[D/I]]="I",TblTrvlDetails[[#This Row],[M&amp;IE Rates/Day
based on Rate Type]]&lt;=265,TblTrvlDetails[[#This Row],[Rate Type]]=Data!$Z$4),VLOOKUP(TblTrvlDetails[[#This Row],[Full Amt]],TblIntl2024[],3,FALSE),
IF(AND(TblTrvlDetails[[#This Row],[D/I]]="I",TblTrvlDetails[[#This Row],[M&amp;IE Rates/Day
based on Rate Type]]&lt;=265,TblTrvlDetails[[#This Row],[Rate Type]]=Data!$Z$5),VLOOKUP(TblTrvlDetails[[#This Row],[Full Amt]],TblIntl2024[],3,FALSE),
IF(AND(TblTrvlDetails[[#This Row],[D/I]]="D",TblTrvlDetails[[#This Row],[Rate Type]]=Data!$Z$4),VLOOKUP(TblTrvlDetails[[#This Row],[Rate Unique '#]],newrate,4,0),
IF(AND(TblTrvlDetails[[#This Row],[D/I]]="D",TblTrvlDetails[[#This Row],[Rate Type]]=Data!$Z$5),VLOOKUP(TblTrvlDetails[[#This Row],[Rate Unique '#]],newrate,4,0),0)))))),0))))</f>
        <v>0</v>
      </c>
      <c r="V22" s="61">
        <f>IF($G22="Enter Date",0,
IF(AND($G22&lt;&gt;"Enter Date",$G22&lt;DATEVALUE("10/1/25")),
IFERROR((
IF(AND(TblTrvlDetails[[#This Row],[D/I]]="I",TblTrvlDetails[[#This Row],[M&amp;IE Rates/Day
based on Rate Type]]&gt;265),TblTrvlDetails[[#This Row],[M&amp;IE Rates/Day
based on Rate Type]]*Data!C11,
IF(AND(TblTrvlDetails[[#This Row],[D/I]]="I",TblTrvlDetails[[#This Row],[M&amp;IE Rates/Day
based on Rate Type]]&lt;=265,TblTrvlDetails[[#This Row],[Rate Type]]=Data!$Z$4),VLOOKUP(TblTrvlDetails[[#This Row],[Full Amt]],TblIntl[],4,FALSE),
IF(AND(TblTrvlDetails[[#This Row],[D/I]]="I",TblTrvlDetails[[#This Row],[M&amp;IE Rates/Day
based on Rate Type]]&lt;=265,TblTrvlDetails[[#This Row],[Rate Type]]=Data!$Z$5),VLOOKUP(TblTrvlDetails[[#This Row],[Full Amt]],TblIntl[],4,FALSE),
IF(AND(TblTrvlDetails[[#This Row],[D/I]]="D",TblTrvlDetails[[#This Row],[Rate Type]]=Data!$Z$4),VLOOKUP(TblTrvlDetails[[#This Row],[Rate Unique '#]],newrate,5,0),
IF(AND(TblTrvlDetails[[#This Row],[D/I]]="D",TblTrvlDetails[[#This Row],[Rate Type]]=Data!$Z$5),VLOOKUP(TblTrvlDetails[[#This Row],[Rate Unique '#]],newrate,5,0),0)))))),0),
IF($G22&gt;=DATEVALUE("10/1/25"),IFERROR((
IF(AND(TblTrvlDetails[[#This Row],[D/I]]="I",TblTrvlDetails[[#This Row],[M&amp;IE Rates/Day
based on Rate Type]]&gt;265),TblTrvlDetails[[#This Row],[M&amp;IE Rates/Day
based on Rate Type]]*Data!C11,
IF(AND(TblTrvlDetails[[#This Row],[D/I]]="I",TblTrvlDetails[[#This Row],[M&amp;IE Rates/Day
based on Rate Type]]&lt;=265,TblTrvlDetails[[#This Row],[Rate Type]]=Data!$Z$4),VLOOKUP(TblTrvlDetails[[#This Row],[Full Amt]],TblIntl2024[],4,FALSE),
IF(AND(TblTrvlDetails[[#This Row],[D/I]]="I",TblTrvlDetails[[#This Row],[M&amp;IE Rates/Day
based on Rate Type]]&lt;=265,TblTrvlDetails[[#This Row],[Rate Type]]=Data!$Z$5),VLOOKUP(TblTrvlDetails[[#This Row],[Full Amt]],TblIntl2024[],4,FALSE),
IF(AND(TblTrvlDetails[[#This Row],[D/I]]="D",TblTrvlDetails[[#This Row],[Rate Type]]=Data!$Z$4),VLOOKUP(TblTrvlDetails[[#This Row],[Rate Unique '#]],newrate,5,0),
IF(AND(TblTrvlDetails[[#This Row],[D/I]]="D",TblTrvlDetails[[#This Row],[Rate Type]]=Data!$Z$5),VLOOKUP(TblTrvlDetails[[#This Row],[Rate Unique '#]],newrate,5,0),0)))))),0))))</f>
        <v>0</v>
      </c>
      <c r="W22" s="27">
        <f>IF($G22="Enter Date",0,
IF(AND($G22&lt;&gt;"Enter Date",$G22&lt;DATEVALUE("10/1/25")),
IFERROR((
IF(AND(TblTrvlDetails[[#This Row],[D/I]]="I",TblTrvlDetails[[#This Row],[M&amp;IE Rates/Day
based on Rate Type]]&gt;265),TblTrvlDetails[[#This Row],[M&amp;IE Rates/Day
based on Rate Type]]*Data!C11,
IF(AND(TblTrvlDetails[[#This Row],[D/I]]="I",TblTrvlDetails[[#This Row],[M&amp;IE Rates/Day
based on Rate Type]]&lt;=265,TblTrvlDetails[[#This Row],[Rate Type]]=Data!$Z$4),VLOOKUP(TblTrvlDetails[[#This Row],[Full Amt]],TblIntl[],5,FALSE),
IF(AND(TblTrvlDetails[[#This Row],[D/I]]="I",TblTrvlDetails[[#This Row],[M&amp;IE Rates/Day
based on Rate Type]]&lt;=265,TblTrvlDetails[[#This Row],[Rate Type]]=Data!$Z$5),VLOOKUP(TblTrvlDetails[[#This Row],[Full Amt]],TblIntl[],5,FALSE),
IF(AND(TblTrvlDetails[[#This Row],[D/I]]="D",TblTrvlDetails[[#This Row],[Rate Type]]=Data!$Z$4),VLOOKUP(TblTrvlDetails[[#This Row],[Rate Unique '#]],newrate,6,0),
IF(AND(TblTrvlDetails[[#This Row],[D/I]]="D",TblTrvlDetails[[#This Row],[Rate Type]]=Data!$Z$5),VLOOKUP(TblTrvlDetails[[#This Row],[Rate Unique '#]],newrate,6,0),0)))))),0),
IF($G22&gt;=DATEVALUE("10/1/25"),IFERROR((
IF(AND(TblTrvlDetails[[#This Row],[D/I]]="I",TblTrvlDetails[[#This Row],[M&amp;IE Rates/Day
based on Rate Type]]&gt;265),TblTrvlDetails[[#This Row],[M&amp;IE Rates/Day
based on Rate Type]]*Data!C11,
IF(AND(TblTrvlDetails[[#This Row],[D/I]]="I",TblTrvlDetails[[#This Row],[M&amp;IE Rates/Day
based on Rate Type]]&lt;=265,TblTrvlDetails[[#This Row],[Rate Type]]=Data!$Z$4),VLOOKUP(TblTrvlDetails[[#This Row],[Full Amt]],TblIntl2024[],5,FALSE),
IF(AND(TblTrvlDetails[[#This Row],[D/I]]="I",TblTrvlDetails[[#This Row],[M&amp;IE Rates/Day
based on Rate Type]]&lt;=265,TblTrvlDetails[[#This Row],[Rate Type]]=Data!$Z$5),VLOOKUP(TblTrvlDetails[[#This Row],[Full Amt]],TblIntl2024[],5,FALSE),
IF(AND(TblTrvlDetails[[#This Row],[D/I]]="D",TblTrvlDetails[[#This Row],[Rate Type]]=Data!$Z$4),VLOOKUP(TblTrvlDetails[[#This Row],[Rate Unique '#]],newrate,6,0),
IF(AND(TblTrvlDetails[[#This Row],[D/I]]="D",TblTrvlDetails[[#This Row],[Rate Type]]=Data!$Z$5),VLOOKUP(TblTrvlDetails[[#This Row],[Rate Unique '#]],newrate,6,0),0)))))),0))))</f>
        <v>0</v>
      </c>
      <c r="X22" s="31">
        <f>SUM(IFERROR(SUMIFS(TblTrvlDetails[[#This Row],[Miles*]],TblTrvlDetails[[#This Row],[Travel Date
required]],"&lt;01/01/2025")*(VLOOKUP("Car Mileage",TblTransport[#All],2,FALSE)),0),IFERROR(SUMIFS(TblTrvlDetails[[#This Row],[Miles*]],TblTrvlDetails[[#This Row],[Travel Date
required]],"&gt;=01/01/2025")*(VLOOKUP("Car Mileage",TblTransport[#All],3,FALSE)),0),TblTrvlDetails[[#This Row],[M&amp;IE Total]:[Lodging*]],TblTrvlDetails[[#This Row],[Ground Transport*]:[Business Expense*]])</f>
        <v>0</v>
      </c>
      <c r="Y22" s="75">
        <v>0</v>
      </c>
      <c r="Z22" s="71" t="e">
        <f>IF(MONTH(TblTrvlDetails[[#This Row],[Travel Date
required]])&lt;10,YEAR(TblTrvlDetails[[#This Row],[Travel Date
required]]),YEAR(TblTrvlDetails[[#This Row],[Travel Date
required]])+1)</f>
        <v>#VALUE!</v>
      </c>
      <c r="AA22" s="72" t="e">
        <f>CONCATENATE(TblTrvlDetails[[#This Row],[GSA FY]],TblTrvlDetails[[#This Row],[Full Amt]])</f>
        <v>#VALUE!</v>
      </c>
    </row>
    <row r="23" spans="2:27" ht="20.45" customHeight="1" x14ac:dyDescent="0.25">
      <c r="B23" s="25"/>
      <c r="C23" s="26"/>
      <c r="D23" s="25"/>
      <c r="E23" s="27" t="str">
        <f>_xlfn.IFNA(IF(VLOOKUP(TblTrvlDetails[[#This Row],[Location]],TblDom[],2,FALSE)&lt;&gt;"International","D",IF(VLOOKUP(TblTrvlDetails[[#This Row],[Location]],TblDom[],2,FALSE)="International","I","")),"")</f>
        <v/>
      </c>
      <c r="F23" s="27">
        <f>IFERROR(
IF(AND(ISBLANK(TblTrvlDetails[[#This Row],[Rate Type]])),0,(
IF((TblTrvlDetails[[#This Row],[Rate Type]])="Not Claiming Per Diem",0,(
IF(AND(TblTrvlDetails[[#This Row],[Rate Type]]=Data!$Z$4,(OR(ISBLANK(TblTrvlDetails[[#This Row],[Location]]),VLOOKUP(TblTrvlDetails[[#This Row],[Location]],TblDom[],2,FALSE)="International"))), VLOOKUP(TblTrvlDetails[[#This Row],[Location]],TblDom[],3,FALSE)*0.75,
IF(AND(TblTrvlDetails[[#This Row],[Rate Type]]=Data!$Z$4,(OR(ISBLANK(TblTrvlDetails[[#This Row],[Location]]),VLOOKUP(TblTrvlDetails[[#This Row],[Location]],TblDom[],2,FALSE)&lt;=IF($G$4&lt;10/1/2025,HighestRate24,HighestRate25)))), VLOOKUP(TblTrvlDetails[[#This Row],[Location]],TblDom[],2,FALSE)*0.75,
IF(AND(TblTrvlDetails[[#This Row],[Rate Type]]=Data!$Z$5,(OR(ISBLANK(TblTrvlDetails[[#This Row],[Location]]),VLOOKUP(TblTrvlDetails[[#This Row],[Location]],TblDom[],2,FALSE)="International"))), VLOOKUP(TblTrvlDetails[[#This Row],[Location]],TblDom[],3,FALSE),
IF(AND(TblTrvlDetails[[#This Row],[Rate Type]]=Data!$Z$5,(OR(ISBLANK(TblTrvlDetails[[#This Row],[Location]]),VLOOKUP(TblTrvlDetails[[#This Row],[Location]],TblDom[],2,FALSE)&lt;=IF($G$4&lt;10/1/2025,HighestRate24,HighestRate25)))), VLOOKUP(TblTrvlDetails[[#This Row],[Location]],TblDom[],2,FALSE))))))))),0)</f>
        <v>0</v>
      </c>
      <c r="G23" s="28" t="str">
        <f>IF(ISBLANK(TblTrvlDetails[[#This Row],[Rate Type]])=TRUE,"","Enter Date")</f>
        <v/>
      </c>
      <c r="H23" s="29">
        <v>0</v>
      </c>
      <c r="I23" s="29">
        <v>0</v>
      </c>
      <c r="J23" s="29">
        <v>0</v>
      </c>
      <c r="K23" s="29">
        <v>0</v>
      </c>
      <c r="L23" s="27">
        <f>IF(TblTrvlDetails[[#This Row],[Travel Date
required]]="Enter Date",0,IF(TblTrvlDetails[[#This Row],[Travel Date
required]]="",0,IF(SUM(TblTrvlDetails[[#This Row],[Breakfast]:[Incidental Expenses]])=0,TblTrvlDetails[[#This Row],[M&amp;IE Rates/Day
based on Rate Type]],IFERROR(SUM(IF(TblTrvlDetails[[#This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23" s="30"/>
      <c r="N23" s="30"/>
      <c r="O23" s="26"/>
      <c r="P23" s="30"/>
      <c r="Q23" s="30"/>
      <c r="R23" s="30"/>
      <c r="S23" s="29">
        <f>IF(ISBLANK(TblTrvlDetails[[#This Row],[Location]]),0,IF(TblTrvlDetails[[#This Row],[D/I]]="I",VLOOKUP(TblTrvlDetails[[#This Row],[Location]],TblDom[],3,FALSE),VLOOKUP(TblTrvlDetails[[#This Row],[Location]],TblDom[],2,FALSE)))</f>
        <v>0</v>
      </c>
      <c r="T23" s="61">
        <f>IF($G23="Enter Date",0,
IF(AND($G23&lt;&gt;"Enter Date",$G23&lt;DATEVALUE("10/1/25")),
IFERROR((
IF(AND(TblTrvlDetails[[#This Row],[D/I]]="I",TblTrvlDetails[[#This Row],[M&amp;IE Rates/Day
based on Rate Type]]&gt;265),TblTrvlDetails[[#This Row],[M&amp;IE Rates/Day
based on Rate Type]]*Data!C12,
IF(AND(TblTrvlDetails[[#This Row],[D/I]]="I",TblTrvlDetails[[#This Row],[M&amp;IE Rates/Day
based on Rate Type]]&lt;=265,TblTrvlDetails[[#This Row],[Rate Type]]=Data!$Z$4),VLOOKUP(TblTrvlDetails[[#This Row],[Full Amt]],TblIntl[],2,FALSE),
IF(AND(TblTrvlDetails[[#This Row],[D/I]]="I",TblTrvlDetails[[#This Row],[M&amp;IE Rates/Day
based on Rate Type]]&lt;=265,TblTrvlDetails[[#This Row],[Rate Type]]=Data!$Z$5),VLOOKUP(TblTrvlDetails[[#This Row],[Full Amt]],TblIntl[],2,FALSE),
IF(AND(TblTrvlDetails[[#This Row],[D/I]]="D",TblTrvlDetails[[#This Row],[Rate Type]]=Data!$Z$4),VLOOKUP(TblTrvlDetails[[#This Row],[Rate Unique '#]],newrate,3,0),
IF(AND(TblTrvlDetails[[#This Row],[D/I]]="D",TblTrvlDetails[[#This Row],[Rate Type]]=Data!$Z$5),VLOOKUP(TblTrvlDetails[[#This Row],[Rate Unique '#]],newrate,3,0),0)))))),0),
IF($G23&gt;=DATEVALUE("10/1/25"),IFERROR((
IF(AND(TblTrvlDetails[[#This Row],[D/I]]="I",TblTrvlDetails[[#This Row],[M&amp;IE Rates/Day
based on Rate Type]]&gt;265),TblTrvlDetails[[#This Row],[M&amp;IE Rates/Day
based on Rate Type]]*Data!C12,
IF(AND(TblTrvlDetails[[#This Row],[D/I]]="I",TblTrvlDetails[[#This Row],[M&amp;IE Rates/Day
based on Rate Type]]&lt;=265,TblTrvlDetails[[#This Row],[Rate Type]]=Data!$Z$4),VLOOKUP(TblTrvlDetails[[#This Row],[Full Amt]],TblIntl2024[],2,FALSE),
IF(AND(TblTrvlDetails[[#This Row],[D/I]]="I",TblTrvlDetails[[#This Row],[M&amp;IE Rates/Day
based on Rate Type]]&lt;=265,TblTrvlDetails[[#This Row],[Rate Type]]=Data!$Z$5),VLOOKUP(TblTrvlDetails[[#This Row],[Full Amt]],TblIntl2024[],2,FALSE),
IF(AND(TblTrvlDetails[[#This Row],[D/I]]="D",TblTrvlDetails[[#This Row],[Rate Type]]=Data!$Z$4),VLOOKUP(TblTrvlDetails[[#This Row],[Rate Unique '#]],newrate,3,0),
IF(AND(TblTrvlDetails[[#This Row],[D/I]]="D",TblTrvlDetails[[#This Row],[Rate Type]]=Data!$Z$5),VLOOKUP(TblTrvlDetails[[#This Row],[Rate Unique '#]],newrate,3,0),0)))))),0))))</f>
        <v>0</v>
      </c>
      <c r="U23" s="61">
        <f>IF($G23="Enter Date",0,
IF(AND($G23&lt;&gt;"Enter Date",$G23&lt;DATEVALUE("10/1/25")),
IFERROR((
IF(AND(TblTrvlDetails[[#This Row],[D/I]]="I",TblTrvlDetails[[#This Row],[M&amp;IE Rates/Day
based on Rate Type]]&gt;265),TblTrvlDetails[[#This Row],[M&amp;IE Rates/Day
based on Rate Type]]*Data!C12,
IF(AND(TblTrvlDetails[[#This Row],[D/I]]="I",TblTrvlDetails[[#This Row],[M&amp;IE Rates/Day
based on Rate Type]]&lt;=265,TblTrvlDetails[[#This Row],[Rate Type]]=Data!$Z$4),VLOOKUP(TblTrvlDetails[[#This Row],[Full Amt]],TblIntl[],3,FALSE),
IF(AND(TblTrvlDetails[[#This Row],[D/I]]="I",TblTrvlDetails[[#This Row],[M&amp;IE Rates/Day
based on Rate Type]]&lt;=265,TblTrvlDetails[[#This Row],[Rate Type]]=Data!$Z$5),VLOOKUP(TblTrvlDetails[[#This Row],[Full Amt]],TblIntl[],3,FALSE),
IF(AND(TblTrvlDetails[[#This Row],[D/I]]="D",TblTrvlDetails[[#This Row],[Rate Type]]=Data!$Z$4),VLOOKUP(TblTrvlDetails[[#This Row],[Rate Unique '#]],newrate,4,0),
IF(AND(TblTrvlDetails[[#This Row],[D/I]]="D",TblTrvlDetails[[#This Row],[Rate Type]]=Data!$Z$5),VLOOKUP(TblTrvlDetails[[#This Row],[Rate Unique '#]],newrate,4,0),0)))))),0),
IF($G23&gt;=DATEVALUE("10/1/25"),IFERROR((
IF(AND(TblTrvlDetails[[#This Row],[D/I]]="I",TblTrvlDetails[[#This Row],[M&amp;IE Rates/Day
based on Rate Type]]&gt;265),TblTrvlDetails[[#This Row],[M&amp;IE Rates/Day
based on Rate Type]]*Data!C12,
IF(AND(TblTrvlDetails[[#This Row],[D/I]]="I",TblTrvlDetails[[#This Row],[M&amp;IE Rates/Day
based on Rate Type]]&lt;=265,TblTrvlDetails[[#This Row],[Rate Type]]=Data!$Z$4),VLOOKUP(TblTrvlDetails[[#This Row],[Full Amt]],TblIntl2024[],3,FALSE),
IF(AND(TblTrvlDetails[[#This Row],[D/I]]="I",TblTrvlDetails[[#This Row],[M&amp;IE Rates/Day
based on Rate Type]]&lt;=265,TblTrvlDetails[[#This Row],[Rate Type]]=Data!$Z$5),VLOOKUP(TblTrvlDetails[[#This Row],[Full Amt]],TblIntl2024[],3,FALSE),
IF(AND(TblTrvlDetails[[#This Row],[D/I]]="D",TblTrvlDetails[[#This Row],[Rate Type]]=Data!$Z$4),VLOOKUP(TblTrvlDetails[[#This Row],[Rate Unique '#]],newrate,4,0),
IF(AND(TblTrvlDetails[[#This Row],[D/I]]="D",TblTrvlDetails[[#This Row],[Rate Type]]=Data!$Z$5),VLOOKUP(TblTrvlDetails[[#This Row],[Rate Unique '#]],newrate,4,0),0)))))),0))))</f>
        <v>0</v>
      </c>
      <c r="V23" s="61">
        <f>IF($G23="Enter Date",0,
IF(AND($G23&lt;&gt;"Enter Date",$G23&lt;DATEVALUE("10/1/25")),
IFERROR((
IF(AND(TblTrvlDetails[[#This Row],[D/I]]="I",TblTrvlDetails[[#This Row],[M&amp;IE Rates/Day
based on Rate Type]]&gt;265),TblTrvlDetails[[#This Row],[M&amp;IE Rates/Day
based on Rate Type]]*Data!C12,
IF(AND(TblTrvlDetails[[#This Row],[D/I]]="I",TblTrvlDetails[[#This Row],[M&amp;IE Rates/Day
based on Rate Type]]&lt;=265,TblTrvlDetails[[#This Row],[Rate Type]]=Data!$Z$4),VLOOKUP(TblTrvlDetails[[#This Row],[Full Amt]],TblIntl[],4,FALSE),
IF(AND(TblTrvlDetails[[#This Row],[D/I]]="I",TblTrvlDetails[[#This Row],[M&amp;IE Rates/Day
based on Rate Type]]&lt;=265,TblTrvlDetails[[#This Row],[Rate Type]]=Data!$Z$5),VLOOKUP(TblTrvlDetails[[#This Row],[Full Amt]],TblIntl[],4,FALSE),
IF(AND(TblTrvlDetails[[#This Row],[D/I]]="D",TblTrvlDetails[[#This Row],[Rate Type]]=Data!$Z$4),VLOOKUP(TblTrvlDetails[[#This Row],[Rate Unique '#]],newrate,5,0),
IF(AND(TblTrvlDetails[[#This Row],[D/I]]="D",TblTrvlDetails[[#This Row],[Rate Type]]=Data!$Z$5),VLOOKUP(TblTrvlDetails[[#This Row],[Rate Unique '#]],newrate,5,0),0)))))),0),
IF($G23&gt;=DATEVALUE("10/1/25"),IFERROR((
IF(AND(TblTrvlDetails[[#This Row],[D/I]]="I",TblTrvlDetails[[#This Row],[M&amp;IE Rates/Day
based on Rate Type]]&gt;265),TblTrvlDetails[[#This Row],[M&amp;IE Rates/Day
based on Rate Type]]*Data!C12,
IF(AND(TblTrvlDetails[[#This Row],[D/I]]="I",TblTrvlDetails[[#This Row],[M&amp;IE Rates/Day
based on Rate Type]]&lt;=265,TblTrvlDetails[[#This Row],[Rate Type]]=Data!$Z$4),VLOOKUP(TblTrvlDetails[[#This Row],[Full Amt]],TblIntl2024[],4,FALSE),
IF(AND(TblTrvlDetails[[#This Row],[D/I]]="I",TblTrvlDetails[[#This Row],[M&amp;IE Rates/Day
based on Rate Type]]&lt;=265,TblTrvlDetails[[#This Row],[Rate Type]]=Data!$Z$5),VLOOKUP(TblTrvlDetails[[#This Row],[Full Amt]],TblIntl2024[],4,FALSE),
IF(AND(TblTrvlDetails[[#This Row],[D/I]]="D",TblTrvlDetails[[#This Row],[Rate Type]]=Data!$Z$4),VLOOKUP(TblTrvlDetails[[#This Row],[Rate Unique '#]],newrate,5,0),
IF(AND(TblTrvlDetails[[#This Row],[D/I]]="D",TblTrvlDetails[[#This Row],[Rate Type]]=Data!$Z$5),VLOOKUP(TblTrvlDetails[[#This Row],[Rate Unique '#]],newrate,5,0),0)))))),0))))</f>
        <v>0</v>
      </c>
      <c r="W23" s="27">
        <f>IF($G23="Enter Date",0,
IF(AND($G23&lt;&gt;"Enter Date",$G23&lt;DATEVALUE("10/1/25")),
IFERROR((
IF(AND(TblTrvlDetails[[#This Row],[D/I]]="I",TblTrvlDetails[[#This Row],[M&amp;IE Rates/Day
based on Rate Type]]&gt;265),TblTrvlDetails[[#This Row],[M&amp;IE Rates/Day
based on Rate Type]]*Data!C12,
IF(AND(TblTrvlDetails[[#This Row],[D/I]]="I",TblTrvlDetails[[#This Row],[M&amp;IE Rates/Day
based on Rate Type]]&lt;=265,TblTrvlDetails[[#This Row],[Rate Type]]=Data!$Z$4),VLOOKUP(TblTrvlDetails[[#This Row],[Full Amt]],TblIntl[],5,FALSE),
IF(AND(TblTrvlDetails[[#This Row],[D/I]]="I",TblTrvlDetails[[#This Row],[M&amp;IE Rates/Day
based on Rate Type]]&lt;=265,TblTrvlDetails[[#This Row],[Rate Type]]=Data!$Z$5),VLOOKUP(TblTrvlDetails[[#This Row],[Full Amt]],TblIntl[],5,FALSE),
IF(AND(TblTrvlDetails[[#This Row],[D/I]]="D",TblTrvlDetails[[#This Row],[Rate Type]]=Data!$Z$4),VLOOKUP(TblTrvlDetails[[#This Row],[Rate Unique '#]],newrate,6,0),
IF(AND(TblTrvlDetails[[#This Row],[D/I]]="D",TblTrvlDetails[[#This Row],[Rate Type]]=Data!$Z$5),VLOOKUP(TblTrvlDetails[[#This Row],[Rate Unique '#]],newrate,6,0),0)))))),0),
IF($G23&gt;=DATEVALUE("10/1/25"),IFERROR((
IF(AND(TblTrvlDetails[[#This Row],[D/I]]="I",TblTrvlDetails[[#This Row],[M&amp;IE Rates/Day
based on Rate Type]]&gt;265),TblTrvlDetails[[#This Row],[M&amp;IE Rates/Day
based on Rate Type]]*Data!C12,
IF(AND(TblTrvlDetails[[#This Row],[D/I]]="I",TblTrvlDetails[[#This Row],[M&amp;IE Rates/Day
based on Rate Type]]&lt;=265,TblTrvlDetails[[#This Row],[Rate Type]]=Data!$Z$4),VLOOKUP(TblTrvlDetails[[#This Row],[Full Amt]],TblIntl2024[],5,FALSE),
IF(AND(TblTrvlDetails[[#This Row],[D/I]]="I",TblTrvlDetails[[#This Row],[M&amp;IE Rates/Day
based on Rate Type]]&lt;=265,TblTrvlDetails[[#This Row],[Rate Type]]=Data!$Z$5),VLOOKUP(TblTrvlDetails[[#This Row],[Full Amt]],TblIntl2024[],5,FALSE),
IF(AND(TblTrvlDetails[[#This Row],[D/I]]="D",TblTrvlDetails[[#This Row],[Rate Type]]=Data!$Z$4),VLOOKUP(TblTrvlDetails[[#This Row],[Rate Unique '#]],newrate,6,0),
IF(AND(TblTrvlDetails[[#This Row],[D/I]]="D",TblTrvlDetails[[#This Row],[Rate Type]]=Data!$Z$5),VLOOKUP(TblTrvlDetails[[#This Row],[Rate Unique '#]],newrate,6,0),0)))))),0))))</f>
        <v>0</v>
      </c>
      <c r="X23" s="31">
        <f>SUM(IFERROR(SUMIFS(TblTrvlDetails[[#This Row],[Miles*]],TblTrvlDetails[[#This Row],[Travel Date
required]],"&lt;01/01/2025")*(VLOOKUP("Car Mileage",TblTransport[#All],2,FALSE)),0),IFERROR(SUMIFS(TblTrvlDetails[[#This Row],[Miles*]],TblTrvlDetails[[#This Row],[Travel Date
required]],"&gt;=01/01/2025")*(VLOOKUP("Car Mileage",TblTransport[#All],3,FALSE)),0),TblTrvlDetails[[#This Row],[M&amp;IE Total]:[Lodging*]],TblTrvlDetails[[#This Row],[Ground Transport*]:[Business Expense*]])</f>
        <v>0</v>
      </c>
      <c r="Y23" s="75">
        <v>0</v>
      </c>
      <c r="Z23" s="71" t="e">
        <f>IF(MONTH(TblTrvlDetails[[#This Row],[Travel Date
required]])&lt;10,YEAR(TblTrvlDetails[[#This Row],[Travel Date
required]]),YEAR(TblTrvlDetails[[#This Row],[Travel Date
required]])+1)</f>
        <v>#VALUE!</v>
      </c>
      <c r="AA23" s="72" t="e">
        <f>CONCATENATE(TblTrvlDetails[[#This Row],[GSA FY]],TblTrvlDetails[[#This Row],[Full Amt]])</f>
        <v>#VALUE!</v>
      </c>
    </row>
    <row r="24" spans="2:27" ht="20.45" customHeight="1" x14ac:dyDescent="0.25">
      <c r="B24" s="25"/>
      <c r="C24" s="26"/>
      <c r="D24" s="25"/>
      <c r="E24" s="27" t="str">
        <f>_xlfn.IFNA(IF(VLOOKUP(TblTrvlDetails[[#This Row],[Location]],TblDom[],2,FALSE)&lt;&gt;"International","D",IF(VLOOKUP(TblTrvlDetails[[#This Row],[Location]],TblDom[],2,FALSE)="International","I","")),"")</f>
        <v/>
      </c>
      <c r="F24" s="27">
        <f>IFERROR(
IF(AND(ISBLANK(TblTrvlDetails[[#This Row],[Rate Type]])),0,(
IF((TblTrvlDetails[[#This Row],[Rate Type]])="Not Claiming Per Diem",0,(
IF(AND(TblTrvlDetails[[#This Row],[Rate Type]]=Data!$Z$4,(OR(ISBLANK(TblTrvlDetails[[#This Row],[Location]]),VLOOKUP(TblTrvlDetails[[#This Row],[Location]],TblDom[],2,FALSE)="International"))), VLOOKUP(TblTrvlDetails[[#This Row],[Location]],TblDom[],3,FALSE)*0.75,
IF(AND(TblTrvlDetails[[#This Row],[Rate Type]]=Data!$Z$4,(OR(ISBLANK(TblTrvlDetails[[#This Row],[Location]]),VLOOKUP(TblTrvlDetails[[#This Row],[Location]],TblDom[],2,FALSE)&lt;=IF($G$4&lt;10/1/2025,HighestRate24,HighestRate25)))), VLOOKUP(TblTrvlDetails[[#This Row],[Location]],TblDom[],2,FALSE)*0.75,
IF(AND(TblTrvlDetails[[#This Row],[Rate Type]]=Data!$Z$5,(OR(ISBLANK(TblTrvlDetails[[#This Row],[Location]]),VLOOKUP(TblTrvlDetails[[#This Row],[Location]],TblDom[],2,FALSE)="International"))), VLOOKUP(TblTrvlDetails[[#This Row],[Location]],TblDom[],3,FALSE),
IF(AND(TblTrvlDetails[[#This Row],[Rate Type]]=Data!$Z$5,(OR(ISBLANK(TblTrvlDetails[[#This Row],[Location]]),VLOOKUP(TblTrvlDetails[[#This Row],[Location]],TblDom[],2,FALSE)&lt;=IF($G$4&lt;10/1/2025,HighestRate24,HighestRate25)))), VLOOKUP(TblTrvlDetails[[#This Row],[Location]],TblDom[],2,FALSE))))))))),0)</f>
        <v>0</v>
      </c>
      <c r="G24" s="28" t="str">
        <f>IF(ISBLANK(TblTrvlDetails[[#This Row],[Rate Type]])=TRUE,"","Enter Date")</f>
        <v/>
      </c>
      <c r="H24" s="29">
        <v>0</v>
      </c>
      <c r="I24" s="29">
        <v>0</v>
      </c>
      <c r="J24" s="29">
        <v>0</v>
      </c>
      <c r="K24" s="29">
        <v>0</v>
      </c>
      <c r="L24" s="27">
        <f>IF(TblTrvlDetails[[#This Row],[Travel Date
required]]="Enter Date",0,IF(TblTrvlDetails[[#This Row],[Travel Date
required]]="",0,IF(SUM(TblTrvlDetails[[#This Row],[Breakfast]:[Incidental Expenses]])=0,TblTrvlDetails[[#This Row],[M&amp;IE Rates/Day
based on Rate Type]],IFERROR(SUM(IF(TblTrvlDetails[[#This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24" s="30"/>
      <c r="N24" s="30"/>
      <c r="O24" s="26"/>
      <c r="P24" s="30"/>
      <c r="Q24" s="30"/>
      <c r="R24" s="30"/>
      <c r="S24" s="29">
        <f>IF(ISBLANK(TblTrvlDetails[[#This Row],[Location]]),0,IF(TblTrvlDetails[[#This Row],[D/I]]="I",VLOOKUP(TblTrvlDetails[[#This Row],[Location]],TblDom[],3,FALSE),VLOOKUP(TblTrvlDetails[[#This Row],[Location]],TblDom[],2,FALSE)))</f>
        <v>0</v>
      </c>
      <c r="T24" s="61">
        <f>IF($G24="Enter Date",0,
IF(AND($G24&lt;&gt;"Enter Date",$G24&lt;DATEVALUE("10/1/25")),
IFERROR((
IF(AND(TblTrvlDetails[[#This Row],[D/I]]="I",TblTrvlDetails[[#This Row],[M&amp;IE Rates/Day
based on Rate Type]]&gt;265),TblTrvlDetails[[#This Row],[M&amp;IE Rates/Day
based on Rate Type]]*Data!C13,
IF(AND(TblTrvlDetails[[#This Row],[D/I]]="I",TblTrvlDetails[[#This Row],[M&amp;IE Rates/Day
based on Rate Type]]&lt;=265,TblTrvlDetails[[#This Row],[Rate Type]]=Data!$Z$4),VLOOKUP(TblTrvlDetails[[#This Row],[Full Amt]],TblIntl[],2,FALSE),
IF(AND(TblTrvlDetails[[#This Row],[D/I]]="I",TblTrvlDetails[[#This Row],[M&amp;IE Rates/Day
based on Rate Type]]&lt;=265,TblTrvlDetails[[#This Row],[Rate Type]]=Data!$Z$5),VLOOKUP(TblTrvlDetails[[#This Row],[Full Amt]],TblIntl[],2,FALSE),
IF(AND(TblTrvlDetails[[#This Row],[D/I]]="D",TblTrvlDetails[[#This Row],[Rate Type]]=Data!$Z$4),VLOOKUP(TblTrvlDetails[[#This Row],[Rate Unique '#]],newrate,3,0),
IF(AND(TblTrvlDetails[[#This Row],[D/I]]="D",TblTrvlDetails[[#This Row],[Rate Type]]=Data!$Z$5),VLOOKUP(TblTrvlDetails[[#This Row],[Rate Unique '#]],newrate,3,0),0)))))),0),
IF($G24&gt;=DATEVALUE("10/1/25"),IFERROR((
IF(AND(TblTrvlDetails[[#This Row],[D/I]]="I",TblTrvlDetails[[#This Row],[M&amp;IE Rates/Day
based on Rate Type]]&gt;265),TblTrvlDetails[[#This Row],[M&amp;IE Rates/Day
based on Rate Type]]*Data!C13,
IF(AND(TblTrvlDetails[[#This Row],[D/I]]="I",TblTrvlDetails[[#This Row],[M&amp;IE Rates/Day
based on Rate Type]]&lt;=265,TblTrvlDetails[[#This Row],[Rate Type]]=Data!$Z$4),VLOOKUP(TblTrvlDetails[[#This Row],[Full Amt]],TblIntl2024[],2,FALSE),
IF(AND(TblTrvlDetails[[#This Row],[D/I]]="I",TblTrvlDetails[[#This Row],[M&amp;IE Rates/Day
based on Rate Type]]&lt;=265,TblTrvlDetails[[#This Row],[Rate Type]]=Data!$Z$5),VLOOKUP(TblTrvlDetails[[#This Row],[Full Amt]],TblIntl2024[],2,FALSE),
IF(AND(TblTrvlDetails[[#This Row],[D/I]]="D",TblTrvlDetails[[#This Row],[Rate Type]]=Data!$Z$4),VLOOKUP(TblTrvlDetails[[#This Row],[Rate Unique '#]],newrate,3,0),
IF(AND(TblTrvlDetails[[#This Row],[D/I]]="D",TblTrvlDetails[[#This Row],[Rate Type]]=Data!$Z$5),VLOOKUP(TblTrvlDetails[[#This Row],[Rate Unique '#]],newrate,3,0),0)))))),0))))</f>
        <v>0</v>
      </c>
      <c r="U24" s="61">
        <f>IF($G24="Enter Date",0,
IF(AND($G24&lt;&gt;"Enter Date",$G24&lt;DATEVALUE("10/1/25")),
IFERROR((
IF(AND(TblTrvlDetails[[#This Row],[D/I]]="I",TblTrvlDetails[[#This Row],[M&amp;IE Rates/Day
based on Rate Type]]&gt;265),TblTrvlDetails[[#This Row],[M&amp;IE Rates/Day
based on Rate Type]]*Data!C13,
IF(AND(TblTrvlDetails[[#This Row],[D/I]]="I",TblTrvlDetails[[#This Row],[M&amp;IE Rates/Day
based on Rate Type]]&lt;=265,TblTrvlDetails[[#This Row],[Rate Type]]=Data!$Z$4),VLOOKUP(TblTrvlDetails[[#This Row],[Full Amt]],TblIntl[],3,FALSE),
IF(AND(TblTrvlDetails[[#This Row],[D/I]]="I",TblTrvlDetails[[#This Row],[M&amp;IE Rates/Day
based on Rate Type]]&lt;=265,TblTrvlDetails[[#This Row],[Rate Type]]=Data!$Z$5),VLOOKUP(TblTrvlDetails[[#This Row],[Full Amt]],TblIntl[],3,FALSE),
IF(AND(TblTrvlDetails[[#This Row],[D/I]]="D",TblTrvlDetails[[#This Row],[Rate Type]]=Data!$Z$4),VLOOKUP(TblTrvlDetails[[#This Row],[Rate Unique '#]],newrate,4,0),
IF(AND(TblTrvlDetails[[#This Row],[D/I]]="D",TblTrvlDetails[[#This Row],[Rate Type]]=Data!$Z$5),VLOOKUP(TblTrvlDetails[[#This Row],[Rate Unique '#]],newrate,4,0),0)))))),0),
IF($G24&gt;=DATEVALUE("10/1/25"),IFERROR((
IF(AND(TblTrvlDetails[[#This Row],[D/I]]="I",TblTrvlDetails[[#This Row],[M&amp;IE Rates/Day
based on Rate Type]]&gt;265),TblTrvlDetails[[#This Row],[M&amp;IE Rates/Day
based on Rate Type]]*Data!C13,
IF(AND(TblTrvlDetails[[#This Row],[D/I]]="I",TblTrvlDetails[[#This Row],[M&amp;IE Rates/Day
based on Rate Type]]&lt;=265,TblTrvlDetails[[#This Row],[Rate Type]]=Data!$Z$4),VLOOKUP(TblTrvlDetails[[#This Row],[Full Amt]],TblIntl2024[],3,FALSE),
IF(AND(TblTrvlDetails[[#This Row],[D/I]]="I",TblTrvlDetails[[#This Row],[M&amp;IE Rates/Day
based on Rate Type]]&lt;=265,TblTrvlDetails[[#This Row],[Rate Type]]=Data!$Z$5),VLOOKUP(TblTrvlDetails[[#This Row],[Full Amt]],TblIntl2024[],3,FALSE),
IF(AND(TblTrvlDetails[[#This Row],[D/I]]="D",TblTrvlDetails[[#This Row],[Rate Type]]=Data!$Z$4),VLOOKUP(TblTrvlDetails[[#This Row],[Rate Unique '#]],newrate,4,0),
IF(AND(TblTrvlDetails[[#This Row],[D/I]]="D",TblTrvlDetails[[#This Row],[Rate Type]]=Data!$Z$5),VLOOKUP(TblTrvlDetails[[#This Row],[Rate Unique '#]],newrate,4,0),0)))))),0))))</f>
        <v>0</v>
      </c>
      <c r="V24" s="61">
        <f>IF($G24="Enter Date",0,
IF(AND($G24&lt;&gt;"Enter Date",$G24&lt;DATEVALUE("10/1/25")),
IFERROR((
IF(AND(TblTrvlDetails[[#This Row],[D/I]]="I",TblTrvlDetails[[#This Row],[M&amp;IE Rates/Day
based on Rate Type]]&gt;265),TblTrvlDetails[[#This Row],[M&amp;IE Rates/Day
based on Rate Type]]*Data!C13,
IF(AND(TblTrvlDetails[[#This Row],[D/I]]="I",TblTrvlDetails[[#This Row],[M&amp;IE Rates/Day
based on Rate Type]]&lt;=265,TblTrvlDetails[[#This Row],[Rate Type]]=Data!$Z$4),VLOOKUP(TblTrvlDetails[[#This Row],[Full Amt]],TblIntl[],4,FALSE),
IF(AND(TblTrvlDetails[[#This Row],[D/I]]="I",TblTrvlDetails[[#This Row],[M&amp;IE Rates/Day
based on Rate Type]]&lt;=265,TblTrvlDetails[[#This Row],[Rate Type]]=Data!$Z$5),VLOOKUP(TblTrvlDetails[[#This Row],[Full Amt]],TblIntl[],4,FALSE),
IF(AND(TblTrvlDetails[[#This Row],[D/I]]="D",TblTrvlDetails[[#This Row],[Rate Type]]=Data!$Z$4),VLOOKUP(TblTrvlDetails[[#This Row],[Rate Unique '#]],newrate,5,0),
IF(AND(TblTrvlDetails[[#This Row],[D/I]]="D",TblTrvlDetails[[#This Row],[Rate Type]]=Data!$Z$5),VLOOKUP(TblTrvlDetails[[#This Row],[Rate Unique '#]],newrate,5,0),0)))))),0),
IF($G24&gt;=DATEVALUE("10/1/25"),IFERROR((
IF(AND(TblTrvlDetails[[#This Row],[D/I]]="I",TblTrvlDetails[[#This Row],[M&amp;IE Rates/Day
based on Rate Type]]&gt;265),TblTrvlDetails[[#This Row],[M&amp;IE Rates/Day
based on Rate Type]]*Data!C13,
IF(AND(TblTrvlDetails[[#This Row],[D/I]]="I",TblTrvlDetails[[#This Row],[M&amp;IE Rates/Day
based on Rate Type]]&lt;=265,TblTrvlDetails[[#This Row],[Rate Type]]=Data!$Z$4),VLOOKUP(TblTrvlDetails[[#This Row],[Full Amt]],TblIntl2024[],4,FALSE),
IF(AND(TblTrvlDetails[[#This Row],[D/I]]="I",TblTrvlDetails[[#This Row],[M&amp;IE Rates/Day
based on Rate Type]]&lt;=265,TblTrvlDetails[[#This Row],[Rate Type]]=Data!$Z$5),VLOOKUP(TblTrvlDetails[[#This Row],[Full Amt]],TblIntl2024[],4,FALSE),
IF(AND(TblTrvlDetails[[#This Row],[D/I]]="D",TblTrvlDetails[[#This Row],[Rate Type]]=Data!$Z$4),VLOOKUP(TblTrvlDetails[[#This Row],[Rate Unique '#]],newrate,5,0),
IF(AND(TblTrvlDetails[[#This Row],[D/I]]="D",TblTrvlDetails[[#This Row],[Rate Type]]=Data!$Z$5),VLOOKUP(TblTrvlDetails[[#This Row],[Rate Unique '#]],newrate,5,0),0)))))),0))))</f>
        <v>0</v>
      </c>
      <c r="W24" s="27">
        <f>IF($G24="Enter Date",0,
IF(AND($G24&lt;&gt;"Enter Date",$G24&lt;DATEVALUE("10/1/25")),
IFERROR((
IF(AND(TblTrvlDetails[[#This Row],[D/I]]="I",TblTrvlDetails[[#This Row],[M&amp;IE Rates/Day
based on Rate Type]]&gt;265),TblTrvlDetails[[#This Row],[M&amp;IE Rates/Day
based on Rate Type]]*Data!C13,
IF(AND(TblTrvlDetails[[#This Row],[D/I]]="I",TblTrvlDetails[[#This Row],[M&amp;IE Rates/Day
based on Rate Type]]&lt;=265,TblTrvlDetails[[#This Row],[Rate Type]]=Data!$Z$4),VLOOKUP(TblTrvlDetails[[#This Row],[Full Amt]],TblIntl[],5,FALSE),
IF(AND(TblTrvlDetails[[#This Row],[D/I]]="I",TblTrvlDetails[[#This Row],[M&amp;IE Rates/Day
based on Rate Type]]&lt;=265,TblTrvlDetails[[#This Row],[Rate Type]]=Data!$Z$5),VLOOKUP(TblTrvlDetails[[#This Row],[Full Amt]],TblIntl[],5,FALSE),
IF(AND(TblTrvlDetails[[#This Row],[D/I]]="D",TblTrvlDetails[[#This Row],[Rate Type]]=Data!$Z$4),VLOOKUP(TblTrvlDetails[[#This Row],[Rate Unique '#]],newrate,6,0),
IF(AND(TblTrvlDetails[[#This Row],[D/I]]="D",TblTrvlDetails[[#This Row],[Rate Type]]=Data!$Z$5),VLOOKUP(TblTrvlDetails[[#This Row],[Rate Unique '#]],newrate,6,0),0)))))),0),
IF($G24&gt;=DATEVALUE("10/1/25"),IFERROR((
IF(AND(TblTrvlDetails[[#This Row],[D/I]]="I",TblTrvlDetails[[#This Row],[M&amp;IE Rates/Day
based on Rate Type]]&gt;265),TblTrvlDetails[[#This Row],[M&amp;IE Rates/Day
based on Rate Type]]*Data!C13,
IF(AND(TblTrvlDetails[[#This Row],[D/I]]="I",TblTrvlDetails[[#This Row],[M&amp;IE Rates/Day
based on Rate Type]]&lt;=265,TblTrvlDetails[[#This Row],[Rate Type]]=Data!$Z$4),VLOOKUP(TblTrvlDetails[[#This Row],[Full Amt]],TblIntl2024[],5,FALSE),
IF(AND(TblTrvlDetails[[#This Row],[D/I]]="I",TblTrvlDetails[[#This Row],[M&amp;IE Rates/Day
based on Rate Type]]&lt;=265,TblTrvlDetails[[#This Row],[Rate Type]]=Data!$Z$5),VLOOKUP(TblTrvlDetails[[#This Row],[Full Amt]],TblIntl2024[],5,FALSE),
IF(AND(TblTrvlDetails[[#This Row],[D/I]]="D",TblTrvlDetails[[#This Row],[Rate Type]]=Data!$Z$4),VLOOKUP(TblTrvlDetails[[#This Row],[Rate Unique '#]],newrate,6,0),
IF(AND(TblTrvlDetails[[#This Row],[D/I]]="D",TblTrvlDetails[[#This Row],[Rate Type]]=Data!$Z$5),VLOOKUP(TblTrvlDetails[[#This Row],[Rate Unique '#]],newrate,6,0),0)))))),0))))</f>
        <v>0</v>
      </c>
      <c r="X24" s="31">
        <f>SUM(IFERROR(SUMIFS(TblTrvlDetails[[#This Row],[Miles*]],TblTrvlDetails[[#This Row],[Travel Date
required]],"&lt;01/01/2025")*(VLOOKUP("Car Mileage",TblTransport[#All],2,FALSE)),0),IFERROR(SUMIFS(TblTrvlDetails[[#This Row],[Miles*]],TblTrvlDetails[[#This Row],[Travel Date
required]],"&gt;=01/01/2025")*(VLOOKUP("Car Mileage",TblTransport[#All],3,FALSE)),0),TblTrvlDetails[[#This Row],[M&amp;IE Total]:[Lodging*]],TblTrvlDetails[[#This Row],[Ground Transport*]:[Business Expense*]])</f>
        <v>0</v>
      </c>
      <c r="Y24" s="75">
        <v>0</v>
      </c>
      <c r="Z24" s="71" t="e">
        <f>IF(MONTH(TblTrvlDetails[[#This Row],[Travel Date
required]])&lt;10,YEAR(TblTrvlDetails[[#This Row],[Travel Date
required]]),YEAR(TblTrvlDetails[[#This Row],[Travel Date
required]])+1)</f>
        <v>#VALUE!</v>
      </c>
      <c r="AA24" s="72" t="e">
        <f>CONCATENATE(TblTrvlDetails[[#This Row],[GSA FY]],TblTrvlDetails[[#This Row],[Full Amt]])</f>
        <v>#VALUE!</v>
      </c>
    </row>
    <row r="25" spans="2:27" ht="20.45" customHeight="1" x14ac:dyDescent="0.25">
      <c r="B25" s="25"/>
      <c r="C25" s="26"/>
      <c r="D25" s="25"/>
      <c r="E25" s="27" t="str">
        <f>_xlfn.IFNA(IF(VLOOKUP(TblTrvlDetails[[#This Row],[Location]],TblDom[],2,FALSE)&lt;&gt;"International","D",IF(VLOOKUP(TblTrvlDetails[[#This Row],[Location]],TblDom[],2,FALSE)="International","I","")),"")</f>
        <v/>
      </c>
      <c r="F25" s="27">
        <f>IFERROR(
IF(AND(ISBLANK(TblTrvlDetails[[#This Row],[Rate Type]])),0,(
IF((TblTrvlDetails[[#This Row],[Rate Type]])="Not Claiming Per Diem",0,(
IF(AND(TblTrvlDetails[[#This Row],[Rate Type]]=Data!$Z$4,(OR(ISBLANK(TblTrvlDetails[[#This Row],[Location]]),VLOOKUP(TblTrvlDetails[[#This Row],[Location]],TblDom[],2,FALSE)="International"))), VLOOKUP(TblTrvlDetails[[#This Row],[Location]],TblDom[],3,FALSE)*0.75,
IF(AND(TblTrvlDetails[[#This Row],[Rate Type]]=Data!$Z$4,(OR(ISBLANK(TblTrvlDetails[[#This Row],[Location]]),VLOOKUP(TblTrvlDetails[[#This Row],[Location]],TblDom[],2,FALSE)&lt;=IF($G$4&lt;10/1/2025,HighestRate24,HighestRate25)))), VLOOKUP(TblTrvlDetails[[#This Row],[Location]],TblDom[],2,FALSE)*0.75,
IF(AND(TblTrvlDetails[[#This Row],[Rate Type]]=Data!$Z$5,(OR(ISBLANK(TblTrvlDetails[[#This Row],[Location]]),VLOOKUP(TblTrvlDetails[[#This Row],[Location]],TblDom[],2,FALSE)="International"))), VLOOKUP(TblTrvlDetails[[#This Row],[Location]],TblDom[],3,FALSE),
IF(AND(TblTrvlDetails[[#This Row],[Rate Type]]=Data!$Z$5,(OR(ISBLANK(TblTrvlDetails[[#This Row],[Location]]),VLOOKUP(TblTrvlDetails[[#This Row],[Location]],TblDom[],2,FALSE)&lt;=IF($G$4&lt;10/1/2025,HighestRate24,HighestRate25)))), VLOOKUP(TblTrvlDetails[[#This Row],[Location]],TblDom[],2,FALSE))))))))),0)</f>
        <v>0</v>
      </c>
      <c r="G25" s="28" t="str">
        <f>IF(ISBLANK(TblTrvlDetails[[#This Row],[Rate Type]])=TRUE,"","Enter Date")</f>
        <v/>
      </c>
      <c r="H25" s="29">
        <v>0</v>
      </c>
      <c r="I25" s="29">
        <v>0</v>
      </c>
      <c r="J25" s="29">
        <v>0</v>
      </c>
      <c r="K25" s="29">
        <v>0</v>
      </c>
      <c r="L25" s="27">
        <f>IF(TblTrvlDetails[[#This Row],[Travel Date
required]]="Enter Date",0,IF(TblTrvlDetails[[#This Row],[Travel Date
required]]="",0,IF(SUM(TblTrvlDetails[[#This Row],[Breakfast]:[Incidental Expenses]])=0,TblTrvlDetails[[#This Row],[M&amp;IE Rates/Day
based on Rate Type]],IFERROR(SUM(IF(TblTrvlDetails[[#This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25" s="30"/>
      <c r="N25" s="30"/>
      <c r="O25" s="26"/>
      <c r="P25" s="30"/>
      <c r="Q25" s="30"/>
      <c r="R25" s="30"/>
      <c r="S25" s="29">
        <f>IF(ISBLANK(TblTrvlDetails[[#This Row],[Location]]),0,IF(TblTrvlDetails[[#This Row],[D/I]]="I",VLOOKUP(TblTrvlDetails[[#This Row],[Location]],TblDom[],3,FALSE),VLOOKUP(TblTrvlDetails[[#This Row],[Location]],TblDom[],2,FALSE)))</f>
        <v>0</v>
      </c>
      <c r="T25" s="61">
        <f>IF($G25="Enter Date",0,
IF(AND($G25&lt;&gt;"Enter Date",$G25&lt;DATEVALUE("10/1/25")),
IFERROR((
IF(AND(TblTrvlDetails[[#This Row],[D/I]]="I",TblTrvlDetails[[#This Row],[M&amp;IE Rates/Day
based on Rate Type]]&gt;265),TblTrvlDetails[[#This Row],[M&amp;IE Rates/Day
based on Rate Type]]*Data!C14,
IF(AND(TblTrvlDetails[[#This Row],[D/I]]="I",TblTrvlDetails[[#This Row],[M&amp;IE Rates/Day
based on Rate Type]]&lt;=265,TblTrvlDetails[[#This Row],[Rate Type]]=Data!$Z$4),VLOOKUP(TblTrvlDetails[[#This Row],[Full Amt]],TblIntl[],2,FALSE),
IF(AND(TblTrvlDetails[[#This Row],[D/I]]="I",TblTrvlDetails[[#This Row],[M&amp;IE Rates/Day
based on Rate Type]]&lt;=265,TblTrvlDetails[[#This Row],[Rate Type]]=Data!$Z$5),VLOOKUP(TblTrvlDetails[[#This Row],[Full Amt]],TblIntl[],2,FALSE),
IF(AND(TblTrvlDetails[[#This Row],[D/I]]="D",TblTrvlDetails[[#This Row],[Rate Type]]=Data!$Z$4),VLOOKUP(TblTrvlDetails[[#This Row],[Rate Unique '#]],newrate,3,0),
IF(AND(TblTrvlDetails[[#This Row],[D/I]]="D",TblTrvlDetails[[#This Row],[Rate Type]]=Data!$Z$5),VLOOKUP(TblTrvlDetails[[#This Row],[Rate Unique '#]],newrate,3,0),0)))))),0),
IF($G25&gt;=DATEVALUE("10/1/25"),IFERROR((
IF(AND(TblTrvlDetails[[#This Row],[D/I]]="I",TblTrvlDetails[[#This Row],[M&amp;IE Rates/Day
based on Rate Type]]&gt;265),TblTrvlDetails[[#This Row],[M&amp;IE Rates/Day
based on Rate Type]]*Data!C14,
IF(AND(TblTrvlDetails[[#This Row],[D/I]]="I",TblTrvlDetails[[#This Row],[M&amp;IE Rates/Day
based on Rate Type]]&lt;=265,TblTrvlDetails[[#This Row],[Rate Type]]=Data!$Z$4),VLOOKUP(TblTrvlDetails[[#This Row],[Full Amt]],TblIntl2024[],2,FALSE),
IF(AND(TblTrvlDetails[[#This Row],[D/I]]="I",TblTrvlDetails[[#This Row],[M&amp;IE Rates/Day
based on Rate Type]]&lt;=265,TblTrvlDetails[[#This Row],[Rate Type]]=Data!$Z$5),VLOOKUP(TblTrvlDetails[[#This Row],[Full Amt]],TblIntl2024[],2,FALSE),
IF(AND(TblTrvlDetails[[#This Row],[D/I]]="D",TblTrvlDetails[[#This Row],[Rate Type]]=Data!$Z$4),VLOOKUP(TblTrvlDetails[[#This Row],[Rate Unique '#]],newrate,3,0),
IF(AND(TblTrvlDetails[[#This Row],[D/I]]="D",TblTrvlDetails[[#This Row],[Rate Type]]=Data!$Z$5),VLOOKUP(TblTrvlDetails[[#This Row],[Rate Unique '#]],newrate,3,0),0)))))),0))))</f>
        <v>0</v>
      </c>
      <c r="U25" s="61">
        <f>IF($G25="Enter Date",0,
IF(AND($G25&lt;&gt;"Enter Date",$G25&lt;DATEVALUE("10/1/25")),
IFERROR((
IF(AND(TblTrvlDetails[[#This Row],[D/I]]="I",TblTrvlDetails[[#This Row],[M&amp;IE Rates/Day
based on Rate Type]]&gt;265),TblTrvlDetails[[#This Row],[M&amp;IE Rates/Day
based on Rate Type]]*Data!C14,
IF(AND(TblTrvlDetails[[#This Row],[D/I]]="I",TblTrvlDetails[[#This Row],[M&amp;IE Rates/Day
based on Rate Type]]&lt;=265,TblTrvlDetails[[#This Row],[Rate Type]]=Data!$Z$4),VLOOKUP(TblTrvlDetails[[#This Row],[Full Amt]],TblIntl[],3,FALSE),
IF(AND(TblTrvlDetails[[#This Row],[D/I]]="I",TblTrvlDetails[[#This Row],[M&amp;IE Rates/Day
based on Rate Type]]&lt;=265,TblTrvlDetails[[#This Row],[Rate Type]]=Data!$Z$5),VLOOKUP(TblTrvlDetails[[#This Row],[Full Amt]],TblIntl[],3,FALSE),
IF(AND(TblTrvlDetails[[#This Row],[D/I]]="D",TblTrvlDetails[[#This Row],[Rate Type]]=Data!$Z$4),VLOOKUP(TblTrvlDetails[[#This Row],[Rate Unique '#]],newrate,4,0),
IF(AND(TblTrvlDetails[[#This Row],[D/I]]="D",TblTrvlDetails[[#This Row],[Rate Type]]=Data!$Z$5),VLOOKUP(TblTrvlDetails[[#This Row],[Rate Unique '#]],newrate,4,0),0)))))),0),
IF($G25&gt;=DATEVALUE("10/1/25"),IFERROR((
IF(AND(TblTrvlDetails[[#This Row],[D/I]]="I",TblTrvlDetails[[#This Row],[M&amp;IE Rates/Day
based on Rate Type]]&gt;265),TblTrvlDetails[[#This Row],[M&amp;IE Rates/Day
based on Rate Type]]*Data!C14,
IF(AND(TblTrvlDetails[[#This Row],[D/I]]="I",TblTrvlDetails[[#This Row],[M&amp;IE Rates/Day
based on Rate Type]]&lt;=265,TblTrvlDetails[[#This Row],[Rate Type]]=Data!$Z$4),VLOOKUP(TblTrvlDetails[[#This Row],[Full Amt]],TblIntl2024[],3,FALSE),
IF(AND(TblTrvlDetails[[#This Row],[D/I]]="I",TblTrvlDetails[[#This Row],[M&amp;IE Rates/Day
based on Rate Type]]&lt;=265,TblTrvlDetails[[#This Row],[Rate Type]]=Data!$Z$5),VLOOKUP(TblTrvlDetails[[#This Row],[Full Amt]],TblIntl2024[],3,FALSE),
IF(AND(TblTrvlDetails[[#This Row],[D/I]]="D",TblTrvlDetails[[#This Row],[Rate Type]]=Data!$Z$4),VLOOKUP(TblTrvlDetails[[#This Row],[Rate Unique '#]],newrate,4,0),
IF(AND(TblTrvlDetails[[#This Row],[D/I]]="D",TblTrvlDetails[[#This Row],[Rate Type]]=Data!$Z$5),VLOOKUP(TblTrvlDetails[[#This Row],[Rate Unique '#]],newrate,4,0),0)))))),0))))</f>
        <v>0</v>
      </c>
      <c r="V25" s="61">
        <f>IF($G25="Enter Date",0,
IF(AND($G25&lt;&gt;"Enter Date",$G25&lt;DATEVALUE("10/1/25")),
IFERROR((
IF(AND(TblTrvlDetails[[#This Row],[D/I]]="I",TblTrvlDetails[[#This Row],[M&amp;IE Rates/Day
based on Rate Type]]&gt;265),TblTrvlDetails[[#This Row],[M&amp;IE Rates/Day
based on Rate Type]]*Data!C14,
IF(AND(TblTrvlDetails[[#This Row],[D/I]]="I",TblTrvlDetails[[#This Row],[M&amp;IE Rates/Day
based on Rate Type]]&lt;=265,TblTrvlDetails[[#This Row],[Rate Type]]=Data!$Z$4),VLOOKUP(TblTrvlDetails[[#This Row],[Full Amt]],TblIntl[],4,FALSE),
IF(AND(TblTrvlDetails[[#This Row],[D/I]]="I",TblTrvlDetails[[#This Row],[M&amp;IE Rates/Day
based on Rate Type]]&lt;=265,TblTrvlDetails[[#This Row],[Rate Type]]=Data!$Z$5),VLOOKUP(TblTrvlDetails[[#This Row],[Full Amt]],TblIntl[],4,FALSE),
IF(AND(TblTrvlDetails[[#This Row],[D/I]]="D",TblTrvlDetails[[#This Row],[Rate Type]]=Data!$Z$4),VLOOKUP(TblTrvlDetails[[#This Row],[Rate Unique '#]],newrate,5,0),
IF(AND(TblTrvlDetails[[#This Row],[D/I]]="D",TblTrvlDetails[[#This Row],[Rate Type]]=Data!$Z$5),VLOOKUP(TblTrvlDetails[[#This Row],[Rate Unique '#]],newrate,5,0),0)))))),0),
IF($G25&gt;=DATEVALUE("10/1/25"),IFERROR((
IF(AND(TblTrvlDetails[[#This Row],[D/I]]="I",TblTrvlDetails[[#This Row],[M&amp;IE Rates/Day
based on Rate Type]]&gt;265),TblTrvlDetails[[#This Row],[M&amp;IE Rates/Day
based on Rate Type]]*Data!C14,
IF(AND(TblTrvlDetails[[#This Row],[D/I]]="I",TblTrvlDetails[[#This Row],[M&amp;IE Rates/Day
based on Rate Type]]&lt;=265,TblTrvlDetails[[#This Row],[Rate Type]]=Data!$Z$4),VLOOKUP(TblTrvlDetails[[#This Row],[Full Amt]],TblIntl2024[],4,FALSE),
IF(AND(TblTrvlDetails[[#This Row],[D/I]]="I",TblTrvlDetails[[#This Row],[M&amp;IE Rates/Day
based on Rate Type]]&lt;=265,TblTrvlDetails[[#This Row],[Rate Type]]=Data!$Z$5),VLOOKUP(TblTrvlDetails[[#This Row],[Full Amt]],TblIntl2024[],4,FALSE),
IF(AND(TblTrvlDetails[[#This Row],[D/I]]="D",TblTrvlDetails[[#This Row],[Rate Type]]=Data!$Z$4),VLOOKUP(TblTrvlDetails[[#This Row],[Rate Unique '#]],newrate,5,0),
IF(AND(TblTrvlDetails[[#This Row],[D/I]]="D",TblTrvlDetails[[#This Row],[Rate Type]]=Data!$Z$5),VLOOKUP(TblTrvlDetails[[#This Row],[Rate Unique '#]],newrate,5,0),0)))))),0))))</f>
        <v>0</v>
      </c>
      <c r="W25" s="27">
        <f>IF($G25="Enter Date",0,
IF(AND($G25&lt;&gt;"Enter Date",$G25&lt;DATEVALUE("10/1/25")),
IFERROR((
IF(AND(TblTrvlDetails[[#This Row],[D/I]]="I",TblTrvlDetails[[#This Row],[M&amp;IE Rates/Day
based on Rate Type]]&gt;265),TblTrvlDetails[[#This Row],[M&amp;IE Rates/Day
based on Rate Type]]*Data!C14,
IF(AND(TblTrvlDetails[[#This Row],[D/I]]="I",TblTrvlDetails[[#This Row],[M&amp;IE Rates/Day
based on Rate Type]]&lt;=265,TblTrvlDetails[[#This Row],[Rate Type]]=Data!$Z$4),VLOOKUP(TblTrvlDetails[[#This Row],[Full Amt]],TblIntl[],5,FALSE),
IF(AND(TblTrvlDetails[[#This Row],[D/I]]="I",TblTrvlDetails[[#This Row],[M&amp;IE Rates/Day
based on Rate Type]]&lt;=265,TblTrvlDetails[[#This Row],[Rate Type]]=Data!$Z$5),VLOOKUP(TblTrvlDetails[[#This Row],[Full Amt]],TblIntl[],5,FALSE),
IF(AND(TblTrvlDetails[[#This Row],[D/I]]="D",TblTrvlDetails[[#This Row],[Rate Type]]=Data!$Z$4),VLOOKUP(TblTrvlDetails[[#This Row],[Rate Unique '#]],newrate,6,0),
IF(AND(TblTrvlDetails[[#This Row],[D/I]]="D",TblTrvlDetails[[#This Row],[Rate Type]]=Data!$Z$5),VLOOKUP(TblTrvlDetails[[#This Row],[Rate Unique '#]],newrate,6,0),0)))))),0),
IF($G25&gt;=DATEVALUE("10/1/25"),IFERROR((
IF(AND(TblTrvlDetails[[#This Row],[D/I]]="I",TblTrvlDetails[[#This Row],[M&amp;IE Rates/Day
based on Rate Type]]&gt;265),TblTrvlDetails[[#This Row],[M&amp;IE Rates/Day
based on Rate Type]]*Data!C14,
IF(AND(TblTrvlDetails[[#This Row],[D/I]]="I",TblTrvlDetails[[#This Row],[M&amp;IE Rates/Day
based on Rate Type]]&lt;=265,TblTrvlDetails[[#This Row],[Rate Type]]=Data!$Z$4),VLOOKUP(TblTrvlDetails[[#This Row],[Full Amt]],TblIntl2024[],5,FALSE),
IF(AND(TblTrvlDetails[[#This Row],[D/I]]="I",TblTrvlDetails[[#This Row],[M&amp;IE Rates/Day
based on Rate Type]]&lt;=265,TblTrvlDetails[[#This Row],[Rate Type]]=Data!$Z$5),VLOOKUP(TblTrvlDetails[[#This Row],[Full Amt]],TblIntl2024[],5,FALSE),
IF(AND(TblTrvlDetails[[#This Row],[D/I]]="D",TblTrvlDetails[[#This Row],[Rate Type]]=Data!$Z$4),VLOOKUP(TblTrvlDetails[[#This Row],[Rate Unique '#]],newrate,6,0),
IF(AND(TblTrvlDetails[[#This Row],[D/I]]="D",TblTrvlDetails[[#This Row],[Rate Type]]=Data!$Z$5),VLOOKUP(TblTrvlDetails[[#This Row],[Rate Unique '#]],newrate,6,0),0)))))),0))))</f>
        <v>0</v>
      </c>
      <c r="X25" s="31">
        <f>SUM(IFERROR(SUMIFS(TblTrvlDetails[[#This Row],[Miles*]],TblTrvlDetails[[#This Row],[Travel Date
required]],"&lt;01/01/2025")*(VLOOKUP("Car Mileage",TblTransport[#All],2,FALSE)),0),IFERROR(SUMIFS(TblTrvlDetails[[#This Row],[Miles*]],TblTrvlDetails[[#This Row],[Travel Date
required]],"&gt;=01/01/2025")*(VLOOKUP("Car Mileage",TblTransport[#All],3,FALSE)),0),TblTrvlDetails[[#This Row],[M&amp;IE Total]:[Lodging*]],TblTrvlDetails[[#This Row],[Ground Transport*]:[Business Expense*]])</f>
        <v>0</v>
      </c>
      <c r="Y25" s="75">
        <v>0</v>
      </c>
      <c r="Z25" s="71" t="e">
        <f>IF(MONTH(TblTrvlDetails[[#This Row],[Travel Date
required]])&lt;10,YEAR(TblTrvlDetails[[#This Row],[Travel Date
required]]),YEAR(TblTrvlDetails[[#This Row],[Travel Date
required]])+1)</f>
        <v>#VALUE!</v>
      </c>
      <c r="AA25" s="72" t="e">
        <f>CONCATENATE(TblTrvlDetails[[#This Row],[GSA FY]],TblTrvlDetails[[#This Row],[Full Amt]])</f>
        <v>#VALUE!</v>
      </c>
    </row>
    <row r="26" spans="2:27" ht="20.45" customHeight="1" x14ac:dyDescent="0.25">
      <c r="B26" s="25"/>
      <c r="C26" s="26"/>
      <c r="D26" s="25"/>
      <c r="E26" s="27" t="str">
        <f>_xlfn.IFNA(IF(VLOOKUP(TblTrvlDetails[[#This Row],[Location]],TblDom[],2,FALSE)&lt;&gt;"International","D",IF(VLOOKUP(TblTrvlDetails[[#This Row],[Location]],TblDom[],2,FALSE)="International","I","")),"")</f>
        <v/>
      </c>
      <c r="F26" s="27">
        <f>IFERROR(
IF(AND(ISBLANK(TblTrvlDetails[[#This Row],[Rate Type]])),0,(
IF((TblTrvlDetails[[#This Row],[Rate Type]])="Not Claiming Per Diem",0,(
IF(AND(TblTrvlDetails[[#This Row],[Rate Type]]=Data!$Z$4,(OR(ISBLANK(TblTrvlDetails[[#This Row],[Location]]),VLOOKUP(TblTrvlDetails[[#This Row],[Location]],TblDom[],2,FALSE)="International"))), VLOOKUP(TblTrvlDetails[[#This Row],[Location]],TblDom[],3,FALSE)*0.75,
IF(AND(TblTrvlDetails[[#This Row],[Rate Type]]=Data!$Z$4,(OR(ISBLANK(TblTrvlDetails[[#This Row],[Location]]),VLOOKUP(TblTrvlDetails[[#This Row],[Location]],TblDom[],2,FALSE)&lt;=IF($G$4&lt;10/1/2025,HighestRate24,HighestRate25)))), VLOOKUP(TblTrvlDetails[[#This Row],[Location]],TblDom[],2,FALSE)*0.75,
IF(AND(TblTrvlDetails[[#This Row],[Rate Type]]=Data!$Z$5,(OR(ISBLANK(TblTrvlDetails[[#This Row],[Location]]),VLOOKUP(TblTrvlDetails[[#This Row],[Location]],TblDom[],2,FALSE)="International"))), VLOOKUP(TblTrvlDetails[[#This Row],[Location]],TblDom[],3,FALSE),
IF(AND(TblTrvlDetails[[#This Row],[Rate Type]]=Data!$Z$5,(OR(ISBLANK(TblTrvlDetails[[#This Row],[Location]]),VLOOKUP(TblTrvlDetails[[#This Row],[Location]],TblDom[],2,FALSE)&lt;=IF($G$4&lt;10/1/2025,HighestRate24,HighestRate25)))), VLOOKUP(TblTrvlDetails[[#This Row],[Location]],TblDom[],2,FALSE))))))))),0)</f>
        <v>0</v>
      </c>
      <c r="G26" s="28" t="str">
        <f>IF(ISBLANK(TblTrvlDetails[[#This Row],[Rate Type]])=TRUE,"","Enter Date")</f>
        <v/>
      </c>
      <c r="H26" s="29">
        <v>0</v>
      </c>
      <c r="I26" s="29">
        <v>0</v>
      </c>
      <c r="J26" s="29">
        <v>0</v>
      </c>
      <c r="K26" s="29">
        <v>0</v>
      </c>
      <c r="L26" s="27">
        <f>IF(TblTrvlDetails[[#This Row],[Travel Date
required]]="Enter Date",0,IF(TblTrvlDetails[[#This Row],[Travel Date
required]]="",0,IF(SUM(TblTrvlDetails[[#This Row],[Breakfast]:[Incidental Expenses]])=0,TblTrvlDetails[[#This Row],[M&amp;IE Rates/Day
based on Rate Type]],IFERROR(SUM(IF(TblTrvlDetails[[#This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26" s="30"/>
      <c r="N26" s="30"/>
      <c r="O26" s="26"/>
      <c r="P26" s="30"/>
      <c r="Q26" s="30"/>
      <c r="R26" s="30"/>
      <c r="S26" s="29">
        <f>IF(ISBLANK(TblTrvlDetails[[#This Row],[Location]]),0,IF(TblTrvlDetails[[#This Row],[D/I]]="I",VLOOKUP(TblTrvlDetails[[#This Row],[Location]],TblDom[],3,FALSE),VLOOKUP(TblTrvlDetails[[#This Row],[Location]],TblDom[],2,FALSE)))</f>
        <v>0</v>
      </c>
      <c r="T26" s="61">
        <f>IF($G26="Enter Date",0,
IF(AND($G26&lt;&gt;"Enter Date",$G26&lt;DATEVALUE("10/1/25")),
IFERROR((
IF(AND(TblTrvlDetails[[#This Row],[D/I]]="I",TblTrvlDetails[[#This Row],[M&amp;IE Rates/Day
based on Rate Type]]&gt;265),TblTrvlDetails[[#This Row],[M&amp;IE Rates/Day
based on Rate Type]]*Data!C15,
IF(AND(TblTrvlDetails[[#This Row],[D/I]]="I",TblTrvlDetails[[#This Row],[M&amp;IE Rates/Day
based on Rate Type]]&lt;=265,TblTrvlDetails[[#This Row],[Rate Type]]=Data!$Z$4),VLOOKUP(TblTrvlDetails[[#This Row],[Full Amt]],TblIntl[],2,FALSE),
IF(AND(TblTrvlDetails[[#This Row],[D/I]]="I",TblTrvlDetails[[#This Row],[M&amp;IE Rates/Day
based on Rate Type]]&lt;=265,TblTrvlDetails[[#This Row],[Rate Type]]=Data!$Z$5),VLOOKUP(TblTrvlDetails[[#This Row],[Full Amt]],TblIntl[],2,FALSE),
IF(AND(TblTrvlDetails[[#This Row],[D/I]]="D",TblTrvlDetails[[#This Row],[Rate Type]]=Data!$Z$4),VLOOKUP(TblTrvlDetails[[#This Row],[Rate Unique '#]],newrate,3,0),
IF(AND(TblTrvlDetails[[#This Row],[D/I]]="D",TblTrvlDetails[[#This Row],[Rate Type]]=Data!$Z$5),VLOOKUP(TblTrvlDetails[[#This Row],[Rate Unique '#]],newrate,3,0),0)))))),0),
IF($G26&gt;=DATEVALUE("10/1/25"),IFERROR((
IF(AND(TblTrvlDetails[[#This Row],[D/I]]="I",TblTrvlDetails[[#This Row],[M&amp;IE Rates/Day
based on Rate Type]]&gt;265),TblTrvlDetails[[#This Row],[M&amp;IE Rates/Day
based on Rate Type]]*Data!C15,
IF(AND(TblTrvlDetails[[#This Row],[D/I]]="I",TblTrvlDetails[[#This Row],[M&amp;IE Rates/Day
based on Rate Type]]&lt;=265,TblTrvlDetails[[#This Row],[Rate Type]]=Data!$Z$4),VLOOKUP(TblTrvlDetails[[#This Row],[Full Amt]],TblIntl2024[],2,FALSE),
IF(AND(TblTrvlDetails[[#This Row],[D/I]]="I",TblTrvlDetails[[#This Row],[M&amp;IE Rates/Day
based on Rate Type]]&lt;=265,TblTrvlDetails[[#This Row],[Rate Type]]=Data!$Z$5),VLOOKUP(TblTrvlDetails[[#This Row],[Full Amt]],TblIntl2024[],2,FALSE),
IF(AND(TblTrvlDetails[[#This Row],[D/I]]="D",TblTrvlDetails[[#This Row],[Rate Type]]=Data!$Z$4),VLOOKUP(TblTrvlDetails[[#This Row],[Rate Unique '#]],newrate,3,0),
IF(AND(TblTrvlDetails[[#This Row],[D/I]]="D",TblTrvlDetails[[#This Row],[Rate Type]]=Data!$Z$5),VLOOKUP(TblTrvlDetails[[#This Row],[Rate Unique '#]],newrate,3,0),0)))))),0))))</f>
        <v>0</v>
      </c>
      <c r="U26" s="61">
        <f>IF($G26="Enter Date",0,
IF(AND($G26&lt;&gt;"Enter Date",$G26&lt;DATEVALUE("10/1/25")),
IFERROR((
IF(AND(TblTrvlDetails[[#This Row],[D/I]]="I",TblTrvlDetails[[#This Row],[M&amp;IE Rates/Day
based on Rate Type]]&gt;265),TblTrvlDetails[[#This Row],[M&amp;IE Rates/Day
based on Rate Type]]*Data!C15,
IF(AND(TblTrvlDetails[[#This Row],[D/I]]="I",TblTrvlDetails[[#This Row],[M&amp;IE Rates/Day
based on Rate Type]]&lt;=265,TblTrvlDetails[[#This Row],[Rate Type]]=Data!$Z$4),VLOOKUP(TblTrvlDetails[[#This Row],[Full Amt]],TblIntl[],3,FALSE),
IF(AND(TblTrvlDetails[[#This Row],[D/I]]="I",TblTrvlDetails[[#This Row],[M&amp;IE Rates/Day
based on Rate Type]]&lt;=265,TblTrvlDetails[[#This Row],[Rate Type]]=Data!$Z$5),VLOOKUP(TblTrvlDetails[[#This Row],[Full Amt]],TblIntl[],3,FALSE),
IF(AND(TblTrvlDetails[[#This Row],[D/I]]="D",TblTrvlDetails[[#This Row],[Rate Type]]=Data!$Z$4),VLOOKUP(TblTrvlDetails[[#This Row],[Rate Unique '#]],newrate,4,0),
IF(AND(TblTrvlDetails[[#This Row],[D/I]]="D",TblTrvlDetails[[#This Row],[Rate Type]]=Data!$Z$5),VLOOKUP(TblTrvlDetails[[#This Row],[Rate Unique '#]],newrate,4,0),0)))))),0),
IF($G26&gt;=DATEVALUE("10/1/25"),IFERROR((
IF(AND(TblTrvlDetails[[#This Row],[D/I]]="I",TblTrvlDetails[[#This Row],[M&amp;IE Rates/Day
based on Rate Type]]&gt;265),TblTrvlDetails[[#This Row],[M&amp;IE Rates/Day
based on Rate Type]]*Data!C15,
IF(AND(TblTrvlDetails[[#This Row],[D/I]]="I",TblTrvlDetails[[#This Row],[M&amp;IE Rates/Day
based on Rate Type]]&lt;=265,TblTrvlDetails[[#This Row],[Rate Type]]=Data!$Z$4),VLOOKUP(TblTrvlDetails[[#This Row],[Full Amt]],TblIntl2024[],3,FALSE),
IF(AND(TblTrvlDetails[[#This Row],[D/I]]="I",TblTrvlDetails[[#This Row],[M&amp;IE Rates/Day
based on Rate Type]]&lt;=265,TblTrvlDetails[[#This Row],[Rate Type]]=Data!$Z$5),VLOOKUP(TblTrvlDetails[[#This Row],[Full Amt]],TblIntl2024[],3,FALSE),
IF(AND(TblTrvlDetails[[#This Row],[D/I]]="D",TblTrvlDetails[[#This Row],[Rate Type]]=Data!$Z$4),VLOOKUP(TblTrvlDetails[[#This Row],[Rate Unique '#]],newrate,4,0),
IF(AND(TblTrvlDetails[[#This Row],[D/I]]="D",TblTrvlDetails[[#This Row],[Rate Type]]=Data!$Z$5),VLOOKUP(TblTrvlDetails[[#This Row],[Rate Unique '#]],newrate,4,0),0)))))),0))))</f>
        <v>0</v>
      </c>
      <c r="V26" s="61">
        <f>IF($G26="Enter Date",0,
IF(AND($G26&lt;&gt;"Enter Date",$G26&lt;DATEVALUE("10/1/25")),
IFERROR((
IF(AND(TblTrvlDetails[[#This Row],[D/I]]="I",TblTrvlDetails[[#This Row],[M&amp;IE Rates/Day
based on Rate Type]]&gt;265),TblTrvlDetails[[#This Row],[M&amp;IE Rates/Day
based on Rate Type]]*Data!C15,
IF(AND(TblTrvlDetails[[#This Row],[D/I]]="I",TblTrvlDetails[[#This Row],[M&amp;IE Rates/Day
based on Rate Type]]&lt;=265,TblTrvlDetails[[#This Row],[Rate Type]]=Data!$Z$4),VLOOKUP(TblTrvlDetails[[#This Row],[Full Amt]],TblIntl[],4,FALSE),
IF(AND(TblTrvlDetails[[#This Row],[D/I]]="I",TblTrvlDetails[[#This Row],[M&amp;IE Rates/Day
based on Rate Type]]&lt;=265,TblTrvlDetails[[#This Row],[Rate Type]]=Data!$Z$5),VLOOKUP(TblTrvlDetails[[#This Row],[Full Amt]],TblIntl[],4,FALSE),
IF(AND(TblTrvlDetails[[#This Row],[D/I]]="D",TblTrvlDetails[[#This Row],[Rate Type]]=Data!$Z$4),VLOOKUP(TblTrvlDetails[[#This Row],[Rate Unique '#]],newrate,5,0),
IF(AND(TblTrvlDetails[[#This Row],[D/I]]="D",TblTrvlDetails[[#This Row],[Rate Type]]=Data!$Z$5),VLOOKUP(TblTrvlDetails[[#This Row],[Rate Unique '#]],newrate,5,0),0)))))),0),
IF($G26&gt;=DATEVALUE("10/1/25"),IFERROR((
IF(AND(TblTrvlDetails[[#This Row],[D/I]]="I",TblTrvlDetails[[#This Row],[M&amp;IE Rates/Day
based on Rate Type]]&gt;265),TblTrvlDetails[[#This Row],[M&amp;IE Rates/Day
based on Rate Type]]*Data!C15,
IF(AND(TblTrvlDetails[[#This Row],[D/I]]="I",TblTrvlDetails[[#This Row],[M&amp;IE Rates/Day
based on Rate Type]]&lt;=265,TblTrvlDetails[[#This Row],[Rate Type]]=Data!$Z$4),VLOOKUP(TblTrvlDetails[[#This Row],[Full Amt]],TblIntl2024[],4,FALSE),
IF(AND(TblTrvlDetails[[#This Row],[D/I]]="I",TblTrvlDetails[[#This Row],[M&amp;IE Rates/Day
based on Rate Type]]&lt;=265,TblTrvlDetails[[#This Row],[Rate Type]]=Data!$Z$5),VLOOKUP(TblTrvlDetails[[#This Row],[Full Amt]],TblIntl2024[],4,FALSE),
IF(AND(TblTrvlDetails[[#This Row],[D/I]]="D",TblTrvlDetails[[#This Row],[Rate Type]]=Data!$Z$4),VLOOKUP(TblTrvlDetails[[#This Row],[Rate Unique '#]],newrate,5,0),
IF(AND(TblTrvlDetails[[#This Row],[D/I]]="D",TblTrvlDetails[[#This Row],[Rate Type]]=Data!$Z$5),VLOOKUP(TblTrvlDetails[[#This Row],[Rate Unique '#]],newrate,5,0),0)))))),0))))</f>
        <v>0</v>
      </c>
      <c r="W26" s="27">
        <f>IF($G26="Enter Date",0,
IF(AND($G26&lt;&gt;"Enter Date",$G26&lt;DATEVALUE("10/1/25")),
IFERROR((
IF(AND(TblTrvlDetails[[#This Row],[D/I]]="I",TblTrvlDetails[[#This Row],[M&amp;IE Rates/Day
based on Rate Type]]&gt;265),TblTrvlDetails[[#This Row],[M&amp;IE Rates/Day
based on Rate Type]]*Data!C15,
IF(AND(TblTrvlDetails[[#This Row],[D/I]]="I",TblTrvlDetails[[#This Row],[M&amp;IE Rates/Day
based on Rate Type]]&lt;=265,TblTrvlDetails[[#This Row],[Rate Type]]=Data!$Z$4),VLOOKUP(TblTrvlDetails[[#This Row],[Full Amt]],TblIntl[],5,FALSE),
IF(AND(TblTrvlDetails[[#This Row],[D/I]]="I",TblTrvlDetails[[#This Row],[M&amp;IE Rates/Day
based on Rate Type]]&lt;=265,TblTrvlDetails[[#This Row],[Rate Type]]=Data!$Z$5),VLOOKUP(TblTrvlDetails[[#This Row],[Full Amt]],TblIntl[],5,FALSE),
IF(AND(TblTrvlDetails[[#This Row],[D/I]]="D",TblTrvlDetails[[#This Row],[Rate Type]]=Data!$Z$4),VLOOKUP(TblTrvlDetails[[#This Row],[Rate Unique '#]],newrate,6,0),
IF(AND(TblTrvlDetails[[#This Row],[D/I]]="D",TblTrvlDetails[[#This Row],[Rate Type]]=Data!$Z$5),VLOOKUP(TblTrvlDetails[[#This Row],[Rate Unique '#]],newrate,6,0),0)))))),0),
IF($G26&gt;=DATEVALUE("10/1/25"),IFERROR((
IF(AND(TblTrvlDetails[[#This Row],[D/I]]="I",TblTrvlDetails[[#This Row],[M&amp;IE Rates/Day
based on Rate Type]]&gt;265),TblTrvlDetails[[#This Row],[M&amp;IE Rates/Day
based on Rate Type]]*Data!C15,
IF(AND(TblTrvlDetails[[#This Row],[D/I]]="I",TblTrvlDetails[[#This Row],[M&amp;IE Rates/Day
based on Rate Type]]&lt;=265,TblTrvlDetails[[#This Row],[Rate Type]]=Data!$Z$4),VLOOKUP(TblTrvlDetails[[#This Row],[Full Amt]],TblIntl2024[],5,FALSE),
IF(AND(TblTrvlDetails[[#This Row],[D/I]]="I",TblTrvlDetails[[#This Row],[M&amp;IE Rates/Day
based on Rate Type]]&lt;=265,TblTrvlDetails[[#This Row],[Rate Type]]=Data!$Z$5),VLOOKUP(TblTrvlDetails[[#This Row],[Full Amt]],TblIntl2024[],5,FALSE),
IF(AND(TblTrvlDetails[[#This Row],[D/I]]="D",TblTrvlDetails[[#This Row],[Rate Type]]=Data!$Z$4),VLOOKUP(TblTrvlDetails[[#This Row],[Rate Unique '#]],newrate,6,0),
IF(AND(TblTrvlDetails[[#This Row],[D/I]]="D",TblTrvlDetails[[#This Row],[Rate Type]]=Data!$Z$5),VLOOKUP(TblTrvlDetails[[#This Row],[Rate Unique '#]],newrate,6,0),0)))))),0))))</f>
        <v>0</v>
      </c>
      <c r="X26" s="31">
        <f>SUM(IFERROR(SUMIFS(TblTrvlDetails[[#This Row],[Miles*]],TblTrvlDetails[[#This Row],[Travel Date
required]],"&lt;01/01/2025")*(VLOOKUP("Car Mileage",TblTransport[#All],2,FALSE)),0),IFERROR(SUMIFS(TblTrvlDetails[[#This Row],[Miles*]],TblTrvlDetails[[#This Row],[Travel Date
required]],"&gt;=01/01/2025")*(VLOOKUP("Car Mileage",TblTransport[#All],3,FALSE)),0),TblTrvlDetails[[#This Row],[M&amp;IE Total]:[Lodging*]],TblTrvlDetails[[#This Row],[Ground Transport*]:[Business Expense*]])</f>
        <v>0</v>
      </c>
      <c r="Y26" s="75">
        <v>0</v>
      </c>
      <c r="Z26" s="71" t="e">
        <f>IF(MONTH(TblTrvlDetails[[#This Row],[Travel Date
required]])&lt;10,YEAR(TblTrvlDetails[[#This Row],[Travel Date
required]]),YEAR(TblTrvlDetails[[#This Row],[Travel Date
required]])+1)</f>
        <v>#VALUE!</v>
      </c>
      <c r="AA26" s="72" t="e">
        <f>CONCATENATE(TblTrvlDetails[[#This Row],[GSA FY]],TblTrvlDetails[[#This Row],[Full Amt]])</f>
        <v>#VALUE!</v>
      </c>
    </row>
    <row r="27" spans="2:27" ht="20.45" customHeight="1" x14ac:dyDescent="0.25">
      <c r="B27" s="25"/>
      <c r="C27" s="26"/>
      <c r="D27" s="25"/>
      <c r="E27" s="27" t="str">
        <f>_xlfn.IFNA(IF(VLOOKUP(TblTrvlDetails[[#This Row],[Location]],TblDom[],2,FALSE)&lt;&gt;"International","D",IF(VLOOKUP(TblTrvlDetails[[#This Row],[Location]],TblDom[],2,FALSE)="International","I","")),"")</f>
        <v/>
      </c>
      <c r="F27" s="27">
        <f>IFERROR(
IF(AND(ISBLANK(TblTrvlDetails[[#This Row],[Rate Type]])),0,(
IF((TblTrvlDetails[[#This Row],[Rate Type]])="Not Claiming Per Diem",0,(
IF(AND(TblTrvlDetails[[#This Row],[Rate Type]]=Data!$Z$4,(OR(ISBLANK(TblTrvlDetails[[#This Row],[Location]]),VLOOKUP(TblTrvlDetails[[#This Row],[Location]],TblDom[],2,FALSE)="International"))), VLOOKUP(TblTrvlDetails[[#This Row],[Location]],TblDom[],3,FALSE)*0.75,
IF(AND(TblTrvlDetails[[#This Row],[Rate Type]]=Data!$Z$4,(OR(ISBLANK(TblTrvlDetails[[#This Row],[Location]]),VLOOKUP(TblTrvlDetails[[#This Row],[Location]],TblDom[],2,FALSE)&lt;=IF($G$4&lt;10/1/2025,HighestRate24,HighestRate25)))), VLOOKUP(TblTrvlDetails[[#This Row],[Location]],TblDom[],2,FALSE)*0.75,
IF(AND(TblTrvlDetails[[#This Row],[Rate Type]]=Data!$Z$5,(OR(ISBLANK(TblTrvlDetails[[#This Row],[Location]]),VLOOKUP(TblTrvlDetails[[#This Row],[Location]],TblDom[],2,FALSE)="International"))), VLOOKUP(TblTrvlDetails[[#This Row],[Location]],TblDom[],3,FALSE),
IF(AND(TblTrvlDetails[[#This Row],[Rate Type]]=Data!$Z$5,(OR(ISBLANK(TblTrvlDetails[[#This Row],[Location]]),VLOOKUP(TblTrvlDetails[[#This Row],[Location]],TblDom[],2,FALSE)&lt;=IF($G$4&lt;10/1/2025,HighestRate24,HighestRate25)))), VLOOKUP(TblTrvlDetails[[#This Row],[Location]],TblDom[],2,FALSE))))))))),0)</f>
        <v>0</v>
      </c>
      <c r="G27" s="28" t="str">
        <f>IF(ISBLANK(TblTrvlDetails[[#This Row],[Rate Type]])=TRUE,"","Enter Date")</f>
        <v/>
      </c>
      <c r="H27" s="29">
        <v>0</v>
      </c>
      <c r="I27" s="29">
        <v>0</v>
      </c>
      <c r="J27" s="29">
        <v>0</v>
      </c>
      <c r="K27" s="29">
        <v>0</v>
      </c>
      <c r="L27" s="27">
        <f>IF(TblTrvlDetails[[#This Row],[Travel Date
required]]="Enter Date",0,IF(TblTrvlDetails[[#This Row],[Travel Date
required]]="",0,IF(SUM(TblTrvlDetails[[#This Row],[Breakfast]:[Incidental Expenses]])=0,TblTrvlDetails[[#This Row],[M&amp;IE Rates/Day
based on Rate Type]],IFERROR(SUM(IF(TblTrvlDetails[[#This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27" s="30"/>
      <c r="N27" s="30"/>
      <c r="O27" s="26"/>
      <c r="P27" s="30"/>
      <c r="Q27" s="30"/>
      <c r="R27" s="30"/>
      <c r="S27" s="29">
        <f>IF(ISBLANK(TblTrvlDetails[[#This Row],[Location]]),0,IF(TblTrvlDetails[[#This Row],[D/I]]="I",VLOOKUP(TblTrvlDetails[[#This Row],[Location]],TblDom[],3,FALSE),VLOOKUP(TblTrvlDetails[[#This Row],[Location]],TblDom[],2,FALSE)))</f>
        <v>0</v>
      </c>
      <c r="T27" s="61">
        <f>IF($G27="Enter Date",0,
IF(AND($G27&lt;&gt;"Enter Date",$G27&lt;DATEVALUE("10/1/25")),
IFERROR((
IF(AND(TblTrvlDetails[[#This Row],[D/I]]="I",TblTrvlDetails[[#This Row],[M&amp;IE Rates/Day
based on Rate Type]]&gt;265),TblTrvlDetails[[#This Row],[M&amp;IE Rates/Day
based on Rate Type]]*Data!C16,
IF(AND(TblTrvlDetails[[#This Row],[D/I]]="I",TblTrvlDetails[[#This Row],[M&amp;IE Rates/Day
based on Rate Type]]&lt;=265,TblTrvlDetails[[#This Row],[Rate Type]]=Data!$Z$4),VLOOKUP(TblTrvlDetails[[#This Row],[Full Amt]],TblIntl[],2,FALSE),
IF(AND(TblTrvlDetails[[#This Row],[D/I]]="I",TblTrvlDetails[[#This Row],[M&amp;IE Rates/Day
based on Rate Type]]&lt;=265,TblTrvlDetails[[#This Row],[Rate Type]]=Data!$Z$5),VLOOKUP(TblTrvlDetails[[#This Row],[Full Amt]],TblIntl[],2,FALSE),
IF(AND(TblTrvlDetails[[#This Row],[D/I]]="D",TblTrvlDetails[[#This Row],[Rate Type]]=Data!$Z$4),VLOOKUP(TblTrvlDetails[[#This Row],[Rate Unique '#]],newrate,3,0),
IF(AND(TblTrvlDetails[[#This Row],[D/I]]="D",TblTrvlDetails[[#This Row],[Rate Type]]=Data!$Z$5),VLOOKUP(TblTrvlDetails[[#This Row],[Rate Unique '#]],newrate,3,0),0)))))),0),
IF($G27&gt;=DATEVALUE("10/1/25"),IFERROR((
IF(AND(TblTrvlDetails[[#This Row],[D/I]]="I",TblTrvlDetails[[#This Row],[M&amp;IE Rates/Day
based on Rate Type]]&gt;265),TblTrvlDetails[[#This Row],[M&amp;IE Rates/Day
based on Rate Type]]*Data!C16,
IF(AND(TblTrvlDetails[[#This Row],[D/I]]="I",TblTrvlDetails[[#This Row],[M&amp;IE Rates/Day
based on Rate Type]]&lt;=265,TblTrvlDetails[[#This Row],[Rate Type]]=Data!$Z$4),VLOOKUP(TblTrvlDetails[[#This Row],[Full Amt]],TblIntl2024[],2,FALSE),
IF(AND(TblTrvlDetails[[#This Row],[D/I]]="I",TblTrvlDetails[[#This Row],[M&amp;IE Rates/Day
based on Rate Type]]&lt;=265,TblTrvlDetails[[#This Row],[Rate Type]]=Data!$Z$5),VLOOKUP(TblTrvlDetails[[#This Row],[Full Amt]],TblIntl2024[],2,FALSE),
IF(AND(TblTrvlDetails[[#This Row],[D/I]]="D",TblTrvlDetails[[#This Row],[Rate Type]]=Data!$Z$4),VLOOKUP(TblTrvlDetails[[#This Row],[Rate Unique '#]],newrate,3,0),
IF(AND(TblTrvlDetails[[#This Row],[D/I]]="D",TblTrvlDetails[[#This Row],[Rate Type]]=Data!$Z$5),VLOOKUP(TblTrvlDetails[[#This Row],[Rate Unique '#]],newrate,3,0),0)))))),0))))</f>
        <v>0</v>
      </c>
      <c r="U27" s="61">
        <f>IF($G27="Enter Date",0,
IF(AND($G27&lt;&gt;"Enter Date",$G27&lt;DATEVALUE("10/1/25")),
IFERROR((
IF(AND(TblTrvlDetails[[#This Row],[D/I]]="I",TblTrvlDetails[[#This Row],[M&amp;IE Rates/Day
based on Rate Type]]&gt;265),TblTrvlDetails[[#This Row],[M&amp;IE Rates/Day
based on Rate Type]]*Data!C16,
IF(AND(TblTrvlDetails[[#This Row],[D/I]]="I",TblTrvlDetails[[#This Row],[M&amp;IE Rates/Day
based on Rate Type]]&lt;=265,TblTrvlDetails[[#This Row],[Rate Type]]=Data!$Z$4),VLOOKUP(TblTrvlDetails[[#This Row],[Full Amt]],TblIntl[],3,FALSE),
IF(AND(TblTrvlDetails[[#This Row],[D/I]]="I",TblTrvlDetails[[#This Row],[M&amp;IE Rates/Day
based on Rate Type]]&lt;=265,TblTrvlDetails[[#This Row],[Rate Type]]=Data!$Z$5),VLOOKUP(TblTrvlDetails[[#This Row],[Full Amt]],TblIntl[],3,FALSE),
IF(AND(TblTrvlDetails[[#This Row],[D/I]]="D",TblTrvlDetails[[#This Row],[Rate Type]]=Data!$Z$4),VLOOKUP(TblTrvlDetails[[#This Row],[Rate Unique '#]],newrate,4,0),
IF(AND(TblTrvlDetails[[#This Row],[D/I]]="D",TblTrvlDetails[[#This Row],[Rate Type]]=Data!$Z$5),VLOOKUP(TblTrvlDetails[[#This Row],[Rate Unique '#]],newrate,4,0),0)))))),0),
IF($G27&gt;=DATEVALUE("10/1/25"),IFERROR((
IF(AND(TblTrvlDetails[[#This Row],[D/I]]="I",TblTrvlDetails[[#This Row],[M&amp;IE Rates/Day
based on Rate Type]]&gt;265),TblTrvlDetails[[#This Row],[M&amp;IE Rates/Day
based on Rate Type]]*Data!C16,
IF(AND(TblTrvlDetails[[#This Row],[D/I]]="I",TblTrvlDetails[[#This Row],[M&amp;IE Rates/Day
based on Rate Type]]&lt;=265,TblTrvlDetails[[#This Row],[Rate Type]]=Data!$Z$4),VLOOKUP(TblTrvlDetails[[#This Row],[Full Amt]],TblIntl2024[],3,FALSE),
IF(AND(TblTrvlDetails[[#This Row],[D/I]]="I",TblTrvlDetails[[#This Row],[M&amp;IE Rates/Day
based on Rate Type]]&lt;=265,TblTrvlDetails[[#This Row],[Rate Type]]=Data!$Z$5),VLOOKUP(TblTrvlDetails[[#This Row],[Full Amt]],TblIntl2024[],3,FALSE),
IF(AND(TblTrvlDetails[[#This Row],[D/I]]="D",TblTrvlDetails[[#This Row],[Rate Type]]=Data!$Z$4),VLOOKUP(TblTrvlDetails[[#This Row],[Rate Unique '#]],newrate,4,0),
IF(AND(TblTrvlDetails[[#This Row],[D/I]]="D",TblTrvlDetails[[#This Row],[Rate Type]]=Data!$Z$5),VLOOKUP(TblTrvlDetails[[#This Row],[Rate Unique '#]],newrate,4,0),0)))))),0))))</f>
        <v>0</v>
      </c>
      <c r="V27" s="61">
        <f>IF($G27="Enter Date",0,
IF(AND($G27&lt;&gt;"Enter Date",$G27&lt;DATEVALUE("10/1/25")),
IFERROR((
IF(AND(TblTrvlDetails[[#This Row],[D/I]]="I",TblTrvlDetails[[#This Row],[M&amp;IE Rates/Day
based on Rate Type]]&gt;265),TblTrvlDetails[[#This Row],[M&amp;IE Rates/Day
based on Rate Type]]*Data!C16,
IF(AND(TblTrvlDetails[[#This Row],[D/I]]="I",TblTrvlDetails[[#This Row],[M&amp;IE Rates/Day
based on Rate Type]]&lt;=265,TblTrvlDetails[[#This Row],[Rate Type]]=Data!$Z$4),VLOOKUP(TblTrvlDetails[[#This Row],[Full Amt]],TblIntl[],4,FALSE),
IF(AND(TblTrvlDetails[[#This Row],[D/I]]="I",TblTrvlDetails[[#This Row],[M&amp;IE Rates/Day
based on Rate Type]]&lt;=265,TblTrvlDetails[[#This Row],[Rate Type]]=Data!$Z$5),VLOOKUP(TblTrvlDetails[[#This Row],[Full Amt]],TblIntl[],4,FALSE),
IF(AND(TblTrvlDetails[[#This Row],[D/I]]="D",TblTrvlDetails[[#This Row],[Rate Type]]=Data!$Z$4),VLOOKUP(TblTrvlDetails[[#This Row],[Rate Unique '#]],newrate,5,0),
IF(AND(TblTrvlDetails[[#This Row],[D/I]]="D",TblTrvlDetails[[#This Row],[Rate Type]]=Data!$Z$5),VLOOKUP(TblTrvlDetails[[#This Row],[Rate Unique '#]],newrate,5,0),0)))))),0),
IF($G27&gt;=DATEVALUE("10/1/25"),IFERROR((
IF(AND(TblTrvlDetails[[#This Row],[D/I]]="I",TblTrvlDetails[[#This Row],[M&amp;IE Rates/Day
based on Rate Type]]&gt;265),TblTrvlDetails[[#This Row],[M&amp;IE Rates/Day
based on Rate Type]]*Data!C16,
IF(AND(TblTrvlDetails[[#This Row],[D/I]]="I",TblTrvlDetails[[#This Row],[M&amp;IE Rates/Day
based on Rate Type]]&lt;=265,TblTrvlDetails[[#This Row],[Rate Type]]=Data!$Z$4),VLOOKUP(TblTrvlDetails[[#This Row],[Full Amt]],TblIntl2024[],4,FALSE),
IF(AND(TblTrvlDetails[[#This Row],[D/I]]="I",TblTrvlDetails[[#This Row],[M&amp;IE Rates/Day
based on Rate Type]]&lt;=265,TblTrvlDetails[[#This Row],[Rate Type]]=Data!$Z$5),VLOOKUP(TblTrvlDetails[[#This Row],[Full Amt]],TblIntl2024[],4,FALSE),
IF(AND(TblTrvlDetails[[#This Row],[D/I]]="D",TblTrvlDetails[[#This Row],[Rate Type]]=Data!$Z$4),VLOOKUP(TblTrvlDetails[[#This Row],[Rate Unique '#]],newrate,5,0),
IF(AND(TblTrvlDetails[[#This Row],[D/I]]="D",TblTrvlDetails[[#This Row],[Rate Type]]=Data!$Z$5),VLOOKUP(TblTrvlDetails[[#This Row],[Rate Unique '#]],newrate,5,0),0)))))),0))))</f>
        <v>0</v>
      </c>
      <c r="W27" s="27">
        <f>IF($G27="Enter Date",0,
IF(AND($G27&lt;&gt;"Enter Date",$G27&lt;DATEVALUE("10/1/25")),
IFERROR((
IF(AND(TblTrvlDetails[[#This Row],[D/I]]="I",TblTrvlDetails[[#This Row],[M&amp;IE Rates/Day
based on Rate Type]]&gt;265),TblTrvlDetails[[#This Row],[M&amp;IE Rates/Day
based on Rate Type]]*Data!C16,
IF(AND(TblTrvlDetails[[#This Row],[D/I]]="I",TblTrvlDetails[[#This Row],[M&amp;IE Rates/Day
based on Rate Type]]&lt;=265,TblTrvlDetails[[#This Row],[Rate Type]]=Data!$Z$4),VLOOKUP(TblTrvlDetails[[#This Row],[Full Amt]],TblIntl[],5,FALSE),
IF(AND(TblTrvlDetails[[#This Row],[D/I]]="I",TblTrvlDetails[[#This Row],[M&amp;IE Rates/Day
based on Rate Type]]&lt;=265,TblTrvlDetails[[#This Row],[Rate Type]]=Data!$Z$5),VLOOKUP(TblTrvlDetails[[#This Row],[Full Amt]],TblIntl[],5,FALSE),
IF(AND(TblTrvlDetails[[#This Row],[D/I]]="D",TblTrvlDetails[[#This Row],[Rate Type]]=Data!$Z$4),VLOOKUP(TblTrvlDetails[[#This Row],[Rate Unique '#]],newrate,6,0),
IF(AND(TblTrvlDetails[[#This Row],[D/I]]="D",TblTrvlDetails[[#This Row],[Rate Type]]=Data!$Z$5),VLOOKUP(TblTrvlDetails[[#This Row],[Rate Unique '#]],newrate,6,0),0)))))),0),
IF($G27&gt;=DATEVALUE("10/1/25"),IFERROR((
IF(AND(TblTrvlDetails[[#This Row],[D/I]]="I",TblTrvlDetails[[#This Row],[M&amp;IE Rates/Day
based on Rate Type]]&gt;265),TblTrvlDetails[[#This Row],[M&amp;IE Rates/Day
based on Rate Type]]*Data!C16,
IF(AND(TblTrvlDetails[[#This Row],[D/I]]="I",TblTrvlDetails[[#This Row],[M&amp;IE Rates/Day
based on Rate Type]]&lt;=265,TblTrvlDetails[[#This Row],[Rate Type]]=Data!$Z$4),VLOOKUP(TblTrvlDetails[[#This Row],[Full Amt]],TblIntl2024[],5,FALSE),
IF(AND(TblTrvlDetails[[#This Row],[D/I]]="I",TblTrvlDetails[[#This Row],[M&amp;IE Rates/Day
based on Rate Type]]&lt;=265,TblTrvlDetails[[#This Row],[Rate Type]]=Data!$Z$5),VLOOKUP(TblTrvlDetails[[#This Row],[Full Amt]],TblIntl2024[],5,FALSE),
IF(AND(TblTrvlDetails[[#This Row],[D/I]]="D",TblTrvlDetails[[#This Row],[Rate Type]]=Data!$Z$4),VLOOKUP(TblTrvlDetails[[#This Row],[Rate Unique '#]],newrate,6,0),
IF(AND(TblTrvlDetails[[#This Row],[D/I]]="D",TblTrvlDetails[[#This Row],[Rate Type]]=Data!$Z$5),VLOOKUP(TblTrvlDetails[[#This Row],[Rate Unique '#]],newrate,6,0),0)))))),0))))</f>
        <v>0</v>
      </c>
      <c r="X27" s="31">
        <f>SUM(IFERROR(SUMIFS(TblTrvlDetails[[#This Row],[Miles*]],TblTrvlDetails[[#This Row],[Travel Date
required]],"&lt;01/01/2025")*(VLOOKUP("Car Mileage",TblTransport[#All],2,FALSE)),0),IFERROR(SUMIFS(TblTrvlDetails[[#This Row],[Miles*]],TblTrvlDetails[[#This Row],[Travel Date
required]],"&gt;=01/01/2025")*(VLOOKUP("Car Mileage",TblTransport[#All],3,FALSE)),0),TblTrvlDetails[[#This Row],[M&amp;IE Total]:[Lodging*]],TblTrvlDetails[[#This Row],[Ground Transport*]:[Business Expense*]])</f>
        <v>0</v>
      </c>
      <c r="Y27" s="75">
        <v>0</v>
      </c>
      <c r="Z27" s="71" t="e">
        <f>IF(MONTH(TblTrvlDetails[[#This Row],[Travel Date
required]])&lt;10,YEAR(TblTrvlDetails[[#This Row],[Travel Date
required]]),YEAR(TblTrvlDetails[[#This Row],[Travel Date
required]])+1)</f>
        <v>#VALUE!</v>
      </c>
      <c r="AA27" s="72" t="e">
        <f>CONCATENATE(TblTrvlDetails[[#This Row],[GSA FY]],TblTrvlDetails[[#This Row],[Full Amt]])</f>
        <v>#VALUE!</v>
      </c>
    </row>
    <row r="28" spans="2:27" ht="20.45" customHeight="1" x14ac:dyDescent="0.25">
      <c r="B28" s="25"/>
      <c r="C28" s="26"/>
      <c r="D28" s="25"/>
      <c r="E28" s="27" t="str">
        <f>_xlfn.IFNA(IF(VLOOKUP(TblTrvlDetails[[#This Row],[Location]],TblDom[],2,FALSE)&lt;&gt;"International","D",IF(VLOOKUP(TblTrvlDetails[[#This Row],[Location]],TblDom[],2,FALSE)="International","I","")),"")</f>
        <v/>
      </c>
      <c r="F28" s="27">
        <f>IFERROR(
IF(AND(ISBLANK(TblTrvlDetails[[#This Row],[Rate Type]])),0,(
IF((TblTrvlDetails[[#This Row],[Rate Type]])="Not Claiming Per Diem",0,(
IF(AND(TblTrvlDetails[[#This Row],[Rate Type]]=Data!$Z$4,(OR(ISBLANK(TblTrvlDetails[[#This Row],[Location]]),VLOOKUP(TblTrvlDetails[[#This Row],[Location]],TblDom[],2,FALSE)="International"))), VLOOKUP(TblTrvlDetails[[#This Row],[Location]],TblDom[],3,FALSE)*0.75,
IF(AND(TblTrvlDetails[[#This Row],[Rate Type]]=Data!$Z$4,(OR(ISBLANK(TblTrvlDetails[[#This Row],[Location]]),VLOOKUP(TblTrvlDetails[[#This Row],[Location]],TblDom[],2,FALSE)&lt;=IF($G$4&lt;10/1/2025,HighestRate24,HighestRate25)))), VLOOKUP(TblTrvlDetails[[#This Row],[Location]],TblDom[],2,FALSE)*0.75,
IF(AND(TblTrvlDetails[[#This Row],[Rate Type]]=Data!$Z$5,(OR(ISBLANK(TblTrvlDetails[[#This Row],[Location]]),VLOOKUP(TblTrvlDetails[[#This Row],[Location]],TblDom[],2,FALSE)="International"))), VLOOKUP(TblTrvlDetails[[#This Row],[Location]],TblDom[],3,FALSE),
IF(AND(TblTrvlDetails[[#This Row],[Rate Type]]=Data!$Z$5,(OR(ISBLANK(TblTrvlDetails[[#This Row],[Location]]),VLOOKUP(TblTrvlDetails[[#This Row],[Location]],TblDom[],2,FALSE)&lt;=IF($G$4&lt;10/1/2025,HighestRate24,HighestRate25)))), VLOOKUP(TblTrvlDetails[[#This Row],[Location]],TblDom[],2,FALSE))))))))),0)</f>
        <v>0</v>
      </c>
      <c r="G28" s="28" t="str">
        <f>IF(ISBLANK(TblTrvlDetails[[#This Row],[Rate Type]])=TRUE,"","Enter Date")</f>
        <v/>
      </c>
      <c r="H28" s="29">
        <v>0</v>
      </c>
      <c r="I28" s="29">
        <v>0</v>
      </c>
      <c r="J28" s="29">
        <v>0</v>
      </c>
      <c r="K28" s="29">
        <v>0</v>
      </c>
      <c r="L28" s="27">
        <f>IF(TblTrvlDetails[[#This Row],[Travel Date
required]]="Enter Date",0,IF(TblTrvlDetails[[#This Row],[Travel Date
required]]="",0,IF(SUM(TblTrvlDetails[[#This Row],[Breakfast]:[Incidental Expenses]])=0,TblTrvlDetails[[#This Row],[M&amp;IE Rates/Day
based on Rate Type]],IFERROR(SUM(IF(TblTrvlDetails[[#This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28" s="30"/>
      <c r="N28" s="30"/>
      <c r="O28" s="26"/>
      <c r="P28" s="30"/>
      <c r="Q28" s="30"/>
      <c r="R28" s="30"/>
      <c r="S28" s="29">
        <f>IF(ISBLANK(TblTrvlDetails[[#This Row],[Location]]),0,IF(TblTrvlDetails[[#This Row],[D/I]]="I",VLOOKUP(TblTrvlDetails[[#This Row],[Location]],TblDom[],3,FALSE),VLOOKUP(TblTrvlDetails[[#This Row],[Location]],TblDom[],2,FALSE)))</f>
        <v>0</v>
      </c>
      <c r="T28" s="61">
        <f>IF($G28="Enter Date",0,
IF(AND($G28&lt;&gt;"Enter Date",$G28&lt;DATEVALUE("10/1/25")),
IFERROR((
IF(AND(TblTrvlDetails[[#This Row],[D/I]]="I",TblTrvlDetails[[#This Row],[M&amp;IE Rates/Day
based on Rate Type]]&gt;265),TblTrvlDetails[[#This Row],[M&amp;IE Rates/Day
based on Rate Type]]*Data!C17,
IF(AND(TblTrvlDetails[[#This Row],[D/I]]="I",TblTrvlDetails[[#This Row],[M&amp;IE Rates/Day
based on Rate Type]]&lt;=265,TblTrvlDetails[[#This Row],[Rate Type]]=Data!$Z$4),VLOOKUP(TblTrvlDetails[[#This Row],[Full Amt]],TblIntl[],2,FALSE),
IF(AND(TblTrvlDetails[[#This Row],[D/I]]="I",TblTrvlDetails[[#This Row],[M&amp;IE Rates/Day
based on Rate Type]]&lt;=265,TblTrvlDetails[[#This Row],[Rate Type]]=Data!$Z$5),VLOOKUP(TblTrvlDetails[[#This Row],[Full Amt]],TblIntl[],2,FALSE),
IF(AND(TblTrvlDetails[[#This Row],[D/I]]="D",TblTrvlDetails[[#This Row],[Rate Type]]=Data!$Z$4),VLOOKUP(TblTrvlDetails[[#This Row],[Rate Unique '#]],newrate,3,0),
IF(AND(TblTrvlDetails[[#This Row],[D/I]]="D",TblTrvlDetails[[#This Row],[Rate Type]]=Data!$Z$5),VLOOKUP(TblTrvlDetails[[#This Row],[Rate Unique '#]],newrate,3,0),0)))))),0),
IF($G28&gt;=DATEVALUE("10/1/25"),IFERROR((
IF(AND(TblTrvlDetails[[#This Row],[D/I]]="I",TblTrvlDetails[[#This Row],[M&amp;IE Rates/Day
based on Rate Type]]&gt;265),TblTrvlDetails[[#This Row],[M&amp;IE Rates/Day
based on Rate Type]]*Data!C17,
IF(AND(TblTrvlDetails[[#This Row],[D/I]]="I",TblTrvlDetails[[#This Row],[M&amp;IE Rates/Day
based on Rate Type]]&lt;=265,TblTrvlDetails[[#This Row],[Rate Type]]=Data!$Z$4),VLOOKUP(TblTrvlDetails[[#This Row],[Full Amt]],TblIntl2024[],2,FALSE),
IF(AND(TblTrvlDetails[[#This Row],[D/I]]="I",TblTrvlDetails[[#This Row],[M&amp;IE Rates/Day
based on Rate Type]]&lt;=265,TblTrvlDetails[[#This Row],[Rate Type]]=Data!$Z$5),VLOOKUP(TblTrvlDetails[[#This Row],[Full Amt]],TblIntl2024[],2,FALSE),
IF(AND(TblTrvlDetails[[#This Row],[D/I]]="D",TblTrvlDetails[[#This Row],[Rate Type]]=Data!$Z$4),VLOOKUP(TblTrvlDetails[[#This Row],[Rate Unique '#]],newrate,3,0),
IF(AND(TblTrvlDetails[[#This Row],[D/I]]="D",TblTrvlDetails[[#This Row],[Rate Type]]=Data!$Z$5),VLOOKUP(TblTrvlDetails[[#This Row],[Rate Unique '#]],newrate,3,0),0)))))),0))))</f>
        <v>0</v>
      </c>
      <c r="U28" s="61">
        <f>IF($G28="Enter Date",0,
IF(AND($G28&lt;&gt;"Enter Date",$G28&lt;DATEVALUE("10/1/25")),
IFERROR((
IF(AND(TblTrvlDetails[[#This Row],[D/I]]="I",TblTrvlDetails[[#This Row],[M&amp;IE Rates/Day
based on Rate Type]]&gt;265),TblTrvlDetails[[#This Row],[M&amp;IE Rates/Day
based on Rate Type]]*Data!C17,
IF(AND(TblTrvlDetails[[#This Row],[D/I]]="I",TblTrvlDetails[[#This Row],[M&amp;IE Rates/Day
based on Rate Type]]&lt;=265,TblTrvlDetails[[#This Row],[Rate Type]]=Data!$Z$4),VLOOKUP(TblTrvlDetails[[#This Row],[Full Amt]],TblIntl[],3,FALSE),
IF(AND(TblTrvlDetails[[#This Row],[D/I]]="I",TblTrvlDetails[[#This Row],[M&amp;IE Rates/Day
based on Rate Type]]&lt;=265,TblTrvlDetails[[#This Row],[Rate Type]]=Data!$Z$5),VLOOKUP(TblTrvlDetails[[#This Row],[Full Amt]],TblIntl[],3,FALSE),
IF(AND(TblTrvlDetails[[#This Row],[D/I]]="D",TblTrvlDetails[[#This Row],[Rate Type]]=Data!$Z$4),VLOOKUP(TblTrvlDetails[[#This Row],[Rate Unique '#]],newrate,4,0),
IF(AND(TblTrvlDetails[[#This Row],[D/I]]="D",TblTrvlDetails[[#This Row],[Rate Type]]=Data!$Z$5),VLOOKUP(TblTrvlDetails[[#This Row],[Rate Unique '#]],newrate,4,0),0)))))),0),
IF($G28&gt;=DATEVALUE("10/1/25"),IFERROR((
IF(AND(TblTrvlDetails[[#This Row],[D/I]]="I",TblTrvlDetails[[#This Row],[M&amp;IE Rates/Day
based on Rate Type]]&gt;265),TblTrvlDetails[[#This Row],[M&amp;IE Rates/Day
based on Rate Type]]*Data!C17,
IF(AND(TblTrvlDetails[[#This Row],[D/I]]="I",TblTrvlDetails[[#This Row],[M&amp;IE Rates/Day
based on Rate Type]]&lt;=265,TblTrvlDetails[[#This Row],[Rate Type]]=Data!$Z$4),VLOOKUP(TblTrvlDetails[[#This Row],[Full Amt]],TblIntl2024[],3,FALSE),
IF(AND(TblTrvlDetails[[#This Row],[D/I]]="I",TblTrvlDetails[[#This Row],[M&amp;IE Rates/Day
based on Rate Type]]&lt;=265,TblTrvlDetails[[#This Row],[Rate Type]]=Data!$Z$5),VLOOKUP(TblTrvlDetails[[#This Row],[Full Amt]],TblIntl2024[],3,FALSE),
IF(AND(TblTrvlDetails[[#This Row],[D/I]]="D",TblTrvlDetails[[#This Row],[Rate Type]]=Data!$Z$4),VLOOKUP(TblTrvlDetails[[#This Row],[Rate Unique '#]],newrate,4,0),
IF(AND(TblTrvlDetails[[#This Row],[D/I]]="D",TblTrvlDetails[[#This Row],[Rate Type]]=Data!$Z$5),VLOOKUP(TblTrvlDetails[[#This Row],[Rate Unique '#]],newrate,4,0),0)))))),0))))</f>
        <v>0</v>
      </c>
      <c r="V28" s="61">
        <f>IF($G28="Enter Date",0,
IF(AND($G28&lt;&gt;"Enter Date",$G28&lt;DATEVALUE("10/1/25")),
IFERROR((
IF(AND(TblTrvlDetails[[#This Row],[D/I]]="I",TblTrvlDetails[[#This Row],[M&amp;IE Rates/Day
based on Rate Type]]&gt;265),TblTrvlDetails[[#This Row],[M&amp;IE Rates/Day
based on Rate Type]]*Data!C17,
IF(AND(TblTrvlDetails[[#This Row],[D/I]]="I",TblTrvlDetails[[#This Row],[M&amp;IE Rates/Day
based on Rate Type]]&lt;=265,TblTrvlDetails[[#This Row],[Rate Type]]=Data!$Z$4),VLOOKUP(TblTrvlDetails[[#This Row],[Full Amt]],TblIntl[],4,FALSE),
IF(AND(TblTrvlDetails[[#This Row],[D/I]]="I",TblTrvlDetails[[#This Row],[M&amp;IE Rates/Day
based on Rate Type]]&lt;=265,TblTrvlDetails[[#This Row],[Rate Type]]=Data!$Z$5),VLOOKUP(TblTrvlDetails[[#This Row],[Full Amt]],TblIntl[],4,FALSE),
IF(AND(TblTrvlDetails[[#This Row],[D/I]]="D",TblTrvlDetails[[#This Row],[Rate Type]]=Data!$Z$4),VLOOKUP(TblTrvlDetails[[#This Row],[Rate Unique '#]],newrate,5,0),
IF(AND(TblTrvlDetails[[#This Row],[D/I]]="D",TblTrvlDetails[[#This Row],[Rate Type]]=Data!$Z$5),VLOOKUP(TblTrvlDetails[[#This Row],[Rate Unique '#]],newrate,5,0),0)))))),0),
IF($G28&gt;=DATEVALUE("10/1/25"),IFERROR((
IF(AND(TblTrvlDetails[[#This Row],[D/I]]="I",TblTrvlDetails[[#This Row],[M&amp;IE Rates/Day
based on Rate Type]]&gt;265),TblTrvlDetails[[#This Row],[M&amp;IE Rates/Day
based on Rate Type]]*Data!C17,
IF(AND(TblTrvlDetails[[#This Row],[D/I]]="I",TblTrvlDetails[[#This Row],[M&amp;IE Rates/Day
based on Rate Type]]&lt;=265,TblTrvlDetails[[#This Row],[Rate Type]]=Data!$Z$4),VLOOKUP(TblTrvlDetails[[#This Row],[Full Amt]],TblIntl2024[],4,FALSE),
IF(AND(TblTrvlDetails[[#This Row],[D/I]]="I",TblTrvlDetails[[#This Row],[M&amp;IE Rates/Day
based on Rate Type]]&lt;=265,TblTrvlDetails[[#This Row],[Rate Type]]=Data!$Z$5),VLOOKUP(TblTrvlDetails[[#This Row],[Full Amt]],TblIntl2024[],4,FALSE),
IF(AND(TblTrvlDetails[[#This Row],[D/I]]="D",TblTrvlDetails[[#This Row],[Rate Type]]=Data!$Z$4),VLOOKUP(TblTrvlDetails[[#This Row],[Rate Unique '#]],newrate,5,0),
IF(AND(TblTrvlDetails[[#This Row],[D/I]]="D",TblTrvlDetails[[#This Row],[Rate Type]]=Data!$Z$5),VLOOKUP(TblTrvlDetails[[#This Row],[Rate Unique '#]],newrate,5,0),0)))))),0))))</f>
        <v>0</v>
      </c>
      <c r="W28" s="27">
        <f>IF($G28="Enter Date",0,
IF(AND($G28&lt;&gt;"Enter Date",$G28&lt;DATEVALUE("10/1/25")),
IFERROR((
IF(AND(TblTrvlDetails[[#This Row],[D/I]]="I",TblTrvlDetails[[#This Row],[M&amp;IE Rates/Day
based on Rate Type]]&gt;265),TblTrvlDetails[[#This Row],[M&amp;IE Rates/Day
based on Rate Type]]*Data!C17,
IF(AND(TblTrvlDetails[[#This Row],[D/I]]="I",TblTrvlDetails[[#This Row],[M&amp;IE Rates/Day
based on Rate Type]]&lt;=265,TblTrvlDetails[[#This Row],[Rate Type]]=Data!$Z$4),VLOOKUP(TblTrvlDetails[[#This Row],[Full Amt]],TblIntl[],5,FALSE),
IF(AND(TblTrvlDetails[[#This Row],[D/I]]="I",TblTrvlDetails[[#This Row],[M&amp;IE Rates/Day
based on Rate Type]]&lt;=265,TblTrvlDetails[[#This Row],[Rate Type]]=Data!$Z$5),VLOOKUP(TblTrvlDetails[[#This Row],[Full Amt]],TblIntl[],5,FALSE),
IF(AND(TblTrvlDetails[[#This Row],[D/I]]="D",TblTrvlDetails[[#This Row],[Rate Type]]=Data!$Z$4),VLOOKUP(TblTrvlDetails[[#This Row],[Rate Unique '#]],newrate,6,0),
IF(AND(TblTrvlDetails[[#This Row],[D/I]]="D",TblTrvlDetails[[#This Row],[Rate Type]]=Data!$Z$5),VLOOKUP(TblTrvlDetails[[#This Row],[Rate Unique '#]],newrate,6,0),0)))))),0),
IF($G28&gt;=DATEVALUE("10/1/25"),IFERROR((
IF(AND(TblTrvlDetails[[#This Row],[D/I]]="I",TblTrvlDetails[[#This Row],[M&amp;IE Rates/Day
based on Rate Type]]&gt;265),TblTrvlDetails[[#This Row],[M&amp;IE Rates/Day
based on Rate Type]]*Data!C17,
IF(AND(TblTrvlDetails[[#This Row],[D/I]]="I",TblTrvlDetails[[#This Row],[M&amp;IE Rates/Day
based on Rate Type]]&lt;=265,TblTrvlDetails[[#This Row],[Rate Type]]=Data!$Z$4),VLOOKUP(TblTrvlDetails[[#This Row],[Full Amt]],TblIntl2024[],5,FALSE),
IF(AND(TblTrvlDetails[[#This Row],[D/I]]="I",TblTrvlDetails[[#This Row],[M&amp;IE Rates/Day
based on Rate Type]]&lt;=265,TblTrvlDetails[[#This Row],[Rate Type]]=Data!$Z$5),VLOOKUP(TblTrvlDetails[[#This Row],[Full Amt]],TblIntl2024[],5,FALSE),
IF(AND(TblTrvlDetails[[#This Row],[D/I]]="D",TblTrvlDetails[[#This Row],[Rate Type]]=Data!$Z$4),VLOOKUP(TblTrvlDetails[[#This Row],[Rate Unique '#]],newrate,6,0),
IF(AND(TblTrvlDetails[[#This Row],[D/I]]="D",TblTrvlDetails[[#This Row],[Rate Type]]=Data!$Z$5),VLOOKUP(TblTrvlDetails[[#This Row],[Rate Unique '#]],newrate,6,0),0)))))),0))))</f>
        <v>0</v>
      </c>
      <c r="X28" s="31">
        <f>SUM(IFERROR(SUMIFS(TblTrvlDetails[[#This Row],[Miles*]],TblTrvlDetails[[#This Row],[Travel Date
required]],"&lt;01/01/2025")*(VLOOKUP("Car Mileage",TblTransport[#All],2,FALSE)),0),IFERROR(SUMIFS(TblTrvlDetails[[#This Row],[Miles*]],TblTrvlDetails[[#This Row],[Travel Date
required]],"&gt;=01/01/2025")*(VLOOKUP("Car Mileage",TblTransport[#All],3,FALSE)),0),TblTrvlDetails[[#This Row],[M&amp;IE Total]:[Lodging*]],TblTrvlDetails[[#This Row],[Ground Transport*]:[Business Expense*]])</f>
        <v>0</v>
      </c>
      <c r="Y28" s="75">
        <v>0</v>
      </c>
      <c r="Z28" s="71" t="e">
        <f>IF(MONTH(TblTrvlDetails[[#This Row],[Travel Date
required]])&lt;10,YEAR(TblTrvlDetails[[#This Row],[Travel Date
required]]),YEAR(TblTrvlDetails[[#This Row],[Travel Date
required]])+1)</f>
        <v>#VALUE!</v>
      </c>
      <c r="AA28" s="72" t="e">
        <f>CONCATENATE(TblTrvlDetails[[#This Row],[GSA FY]],TblTrvlDetails[[#This Row],[Full Amt]])</f>
        <v>#VALUE!</v>
      </c>
    </row>
    <row r="29" spans="2:27" ht="20.45" customHeight="1" x14ac:dyDescent="0.25">
      <c r="B29" s="25"/>
      <c r="C29" s="26"/>
      <c r="D29" s="25"/>
      <c r="E29" s="27" t="str">
        <f>_xlfn.IFNA(IF(VLOOKUP(TblTrvlDetails[[#This Row],[Location]],TblDom[],2,FALSE)&lt;&gt;"International","D",IF(VLOOKUP(TblTrvlDetails[[#This Row],[Location]],TblDom[],2,FALSE)="International","I","")),"")</f>
        <v/>
      </c>
      <c r="F29" s="27">
        <f>IFERROR(
IF(AND(ISBLANK(TblTrvlDetails[[#This Row],[Rate Type]])),0,(
IF((TblTrvlDetails[[#This Row],[Rate Type]])="Not Claiming Per Diem",0,(
IF(AND(TblTrvlDetails[[#This Row],[Rate Type]]=Data!$Z$4,(OR(ISBLANK(TblTrvlDetails[[#This Row],[Location]]),VLOOKUP(TblTrvlDetails[[#This Row],[Location]],TblDom[],2,FALSE)="International"))), VLOOKUP(TblTrvlDetails[[#This Row],[Location]],TblDom[],3,FALSE)*0.75,
IF(AND(TblTrvlDetails[[#This Row],[Rate Type]]=Data!$Z$4,(OR(ISBLANK(TblTrvlDetails[[#This Row],[Location]]),VLOOKUP(TblTrvlDetails[[#This Row],[Location]],TblDom[],2,FALSE)&lt;=IF($G$4&lt;10/1/2025,HighestRate24,HighestRate25)))), VLOOKUP(TblTrvlDetails[[#This Row],[Location]],TblDom[],2,FALSE)*0.75,
IF(AND(TblTrvlDetails[[#This Row],[Rate Type]]=Data!$Z$5,(OR(ISBLANK(TblTrvlDetails[[#This Row],[Location]]),VLOOKUP(TblTrvlDetails[[#This Row],[Location]],TblDom[],2,FALSE)="International"))), VLOOKUP(TblTrvlDetails[[#This Row],[Location]],TblDom[],3,FALSE),
IF(AND(TblTrvlDetails[[#This Row],[Rate Type]]=Data!$Z$5,(OR(ISBLANK(TblTrvlDetails[[#This Row],[Location]]),VLOOKUP(TblTrvlDetails[[#This Row],[Location]],TblDom[],2,FALSE)&lt;=IF($G$4&lt;10/1/2025,HighestRate24,HighestRate25)))), VLOOKUP(TblTrvlDetails[[#This Row],[Location]],TblDom[],2,FALSE))))))))),0)</f>
        <v>0</v>
      </c>
      <c r="G29" s="28" t="str">
        <f>IF(ISBLANK(TblTrvlDetails[[#This Row],[Rate Type]])=TRUE,"","Enter Date")</f>
        <v/>
      </c>
      <c r="H29" s="29">
        <v>0</v>
      </c>
      <c r="I29" s="29">
        <v>0</v>
      </c>
      <c r="J29" s="29">
        <v>0</v>
      </c>
      <c r="K29" s="29">
        <v>0</v>
      </c>
      <c r="L29" s="27">
        <f>IF(TblTrvlDetails[[#This Row],[Travel Date
required]]="Enter Date",0,IF(TblTrvlDetails[[#This Row],[Travel Date
required]]="",0,IF(SUM(TblTrvlDetails[[#This Row],[Breakfast]:[Incidental Expenses]])=0,TblTrvlDetails[[#This Row],[M&amp;IE Rates/Day
based on Rate Type]],IFERROR(SUM(IF(TblTrvlDetails[[#This Row],[Personal Day?
Yes = 1]]=1,0,IF(SUM(TblTrvlDetails[[#This Row],[M&amp;IE Rates/Day
based on Rate Type]],-(TblTrvlDetails[[#This Row],['# Provided Breakfasts]]*TblTrvlDetails[[#This Row],[Breakfast]]),-(TblTrvlDetails[[#This Row],['# Provided Lunches]]*TblTrvlDetails[[#This Row],[Lunch]]),-(TblTrvlDetails[[#This Row],['# Provided Dinners]]*TblTrvlDetails[[#This Row],[Dinner]]))&lt;=VALUE(TblTrvlDetails[[#This Row],[Incidental Expenses]]),TblTrvlDetails[[#This Row],[Incidental Expenses]],SUM(TblTrvlDetails[[#This Row],[M&amp;IE Rates/Day
based on Rate Type]]-(TblTrvlDetails[[#This Row],['# Provided Breakfasts]]*TblTrvlDetails[[#This Row],[Breakfast]]),-(TblTrvlDetails[[#This Row],['# Provided Lunches]]*TblTrvlDetails[[#This Row],[Lunch]]),-(TblTrvlDetails[[#This Row],['# Provided Dinners]]*TblTrvlDetails[[#This Row],[Dinner]]))))),0))))</f>
        <v>0</v>
      </c>
      <c r="M29" s="30"/>
      <c r="N29" s="30"/>
      <c r="O29" s="26"/>
      <c r="P29" s="30"/>
      <c r="Q29" s="30"/>
      <c r="R29" s="30"/>
      <c r="S29" s="29">
        <f>IF(ISBLANK(TblTrvlDetails[[#This Row],[Location]]),0,IF(TblTrvlDetails[[#This Row],[D/I]]="I",VLOOKUP(TblTrvlDetails[[#This Row],[Location]],TblDom[],3,FALSE),VLOOKUP(TblTrvlDetails[[#This Row],[Location]],TblDom[],2,FALSE)))</f>
        <v>0</v>
      </c>
      <c r="T29" s="61">
        <f>IF($G29="Enter Date",0,
IF(AND($G29&lt;&gt;"Enter Date",$G29&lt;DATEVALUE("10/1/25")),
IFERROR((
IF(AND(TblTrvlDetails[[#This Row],[D/I]]="I",TblTrvlDetails[[#This Row],[M&amp;IE Rates/Day
based on Rate Type]]&gt;265),TblTrvlDetails[[#This Row],[M&amp;IE Rates/Day
based on Rate Type]]*Data!C18,
IF(AND(TblTrvlDetails[[#This Row],[D/I]]="I",TblTrvlDetails[[#This Row],[M&amp;IE Rates/Day
based on Rate Type]]&lt;=265,TblTrvlDetails[[#This Row],[Rate Type]]=Data!$Z$4),VLOOKUP(TblTrvlDetails[[#This Row],[Full Amt]],TblIntl[],2,FALSE),
IF(AND(TblTrvlDetails[[#This Row],[D/I]]="I",TblTrvlDetails[[#This Row],[M&amp;IE Rates/Day
based on Rate Type]]&lt;=265,TblTrvlDetails[[#This Row],[Rate Type]]=Data!$Z$5),VLOOKUP(TblTrvlDetails[[#This Row],[Full Amt]],TblIntl[],2,FALSE),
IF(AND(TblTrvlDetails[[#This Row],[D/I]]="D",TblTrvlDetails[[#This Row],[Rate Type]]=Data!$Z$4),VLOOKUP(TblTrvlDetails[[#This Row],[Rate Unique '#]],newrate,3,0),
IF(AND(TblTrvlDetails[[#This Row],[D/I]]="D",TblTrvlDetails[[#This Row],[Rate Type]]=Data!$Z$5),VLOOKUP(TblTrvlDetails[[#This Row],[Rate Unique '#]],newrate,3,0),0)))))),0),
IF($G29&gt;=DATEVALUE("10/1/25"),IFERROR((
IF(AND(TblTrvlDetails[[#This Row],[D/I]]="I",TblTrvlDetails[[#This Row],[M&amp;IE Rates/Day
based on Rate Type]]&gt;265),TblTrvlDetails[[#This Row],[M&amp;IE Rates/Day
based on Rate Type]]*Data!C18,
IF(AND(TblTrvlDetails[[#This Row],[D/I]]="I",TblTrvlDetails[[#This Row],[M&amp;IE Rates/Day
based on Rate Type]]&lt;=265,TblTrvlDetails[[#This Row],[Rate Type]]=Data!$Z$4),VLOOKUP(TblTrvlDetails[[#This Row],[Full Amt]],TblIntl2024[],2,FALSE),
IF(AND(TblTrvlDetails[[#This Row],[D/I]]="I",TblTrvlDetails[[#This Row],[M&amp;IE Rates/Day
based on Rate Type]]&lt;=265,TblTrvlDetails[[#This Row],[Rate Type]]=Data!$Z$5),VLOOKUP(TblTrvlDetails[[#This Row],[Full Amt]],TblIntl2024[],2,FALSE),
IF(AND(TblTrvlDetails[[#This Row],[D/I]]="D",TblTrvlDetails[[#This Row],[Rate Type]]=Data!$Z$4),VLOOKUP(TblTrvlDetails[[#This Row],[Rate Unique '#]],newrate,3,0),
IF(AND(TblTrvlDetails[[#This Row],[D/I]]="D",TblTrvlDetails[[#This Row],[Rate Type]]=Data!$Z$5),VLOOKUP(TblTrvlDetails[[#This Row],[Rate Unique '#]],newrate,3,0),0)))))),0))))</f>
        <v>0</v>
      </c>
      <c r="U29" s="61">
        <f>IF($G29="Enter Date",0,
IF(AND($G29&lt;&gt;"Enter Date",$G29&lt;DATEVALUE("10/1/25")),
IFERROR((
IF(AND(TblTrvlDetails[[#This Row],[D/I]]="I",TblTrvlDetails[[#This Row],[M&amp;IE Rates/Day
based on Rate Type]]&gt;265),TblTrvlDetails[[#This Row],[M&amp;IE Rates/Day
based on Rate Type]]*Data!C18,
IF(AND(TblTrvlDetails[[#This Row],[D/I]]="I",TblTrvlDetails[[#This Row],[M&amp;IE Rates/Day
based on Rate Type]]&lt;=265,TblTrvlDetails[[#This Row],[Rate Type]]=Data!$Z$4),VLOOKUP(TblTrvlDetails[[#This Row],[Full Amt]],TblIntl[],3,FALSE),
IF(AND(TblTrvlDetails[[#This Row],[D/I]]="I",TblTrvlDetails[[#This Row],[M&amp;IE Rates/Day
based on Rate Type]]&lt;=265,TblTrvlDetails[[#This Row],[Rate Type]]=Data!$Z$5),VLOOKUP(TblTrvlDetails[[#This Row],[Full Amt]],TblIntl[],3,FALSE),
IF(AND(TblTrvlDetails[[#This Row],[D/I]]="D",TblTrvlDetails[[#This Row],[Rate Type]]=Data!$Z$4),VLOOKUP(TblTrvlDetails[[#This Row],[Rate Unique '#]],newrate,4,0),
IF(AND(TblTrvlDetails[[#This Row],[D/I]]="D",TblTrvlDetails[[#This Row],[Rate Type]]=Data!$Z$5),VLOOKUP(TblTrvlDetails[[#This Row],[Rate Unique '#]],newrate,4,0),0)))))),0),
IF($G29&gt;=DATEVALUE("10/1/25"),IFERROR((
IF(AND(TblTrvlDetails[[#This Row],[D/I]]="I",TblTrvlDetails[[#This Row],[M&amp;IE Rates/Day
based on Rate Type]]&gt;265),TblTrvlDetails[[#This Row],[M&amp;IE Rates/Day
based on Rate Type]]*Data!C18,
IF(AND(TblTrvlDetails[[#This Row],[D/I]]="I",TblTrvlDetails[[#This Row],[M&amp;IE Rates/Day
based on Rate Type]]&lt;=265,TblTrvlDetails[[#This Row],[Rate Type]]=Data!$Z$4),VLOOKUP(TblTrvlDetails[[#This Row],[Full Amt]],TblIntl2024[],3,FALSE),
IF(AND(TblTrvlDetails[[#This Row],[D/I]]="I",TblTrvlDetails[[#This Row],[M&amp;IE Rates/Day
based on Rate Type]]&lt;=265,TblTrvlDetails[[#This Row],[Rate Type]]=Data!$Z$5),VLOOKUP(TblTrvlDetails[[#This Row],[Full Amt]],TblIntl2024[],3,FALSE),
IF(AND(TblTrvlDetails[[#This Row],[D/I]]="D",TblTrvlDetails[[#This Row],[Rate Type]]=Data!$Z$4),VLOOKUP(TblTrvlDetails[[#This Row],[Rate Unique '#]],newrate,4,0),
IF(AND(TblTrvlDetails[[#This Row],[D/I]]="D",TblTrvlDetails[[#This Row],[Rate Type]]=Data!$Z$5),VLOOKUP(TblTrvlDetails[[#This Row],[Rate Unique '#]],newrate,4,0),0)))))),0))))</f>
        <v>0</v>
      </c>
      <c r="V29" s="61">
        <f>IF($G29="Enter Date",0,
IF(AND($G29&lt;&gt;"Enter Date",$G29&lt;DATEVALUE("10/1/25")),
IFERROR((
IF(AND(TblTrvlDetails[[#This Row],[D/I]]="I",TblTrvlDetails[[#This Row],[M&amp;IE Rates/Day
based on Rate Type]]&gt;265),TblTrvlDetails[[#This Row],[M&amp;IE Rates/Day
based on Rate Type]]*Data!C18,
IF(AND(TblTrvlDetails[[#This Row],[D/I]]="I",TblTrvlDetails[[#This Row],[M&amp;IE Rates/Day
based on Rate Type]]&lt;=265,TblTrvlDetails[[#This Row],[Rate Type]]=Data!$Z$4),VLOOKUP(TblTrvlDetails[[#This Row],[Full Amt]],TblIntl[],4,FALSE),
IF(AND(TblTrvlDetails[[#This Row],[D/I]]="I",TblTrvlDetails[[#This Row],[M&amp;IE Rates/Day
based on Rate Type]]&lt;=265,TblTrvlDetails[[#This Row],[Rate Type]]=Data!$Z$5),VLOOKUP(TblTrvlDetails[[#This Row],[Full Amt]],TblIntl[],4,FALSE),
IF(AND(TblTrvlDetails[[#This Row],[D/I]]="D",TblTrvlDetails[[#This Row],[Rate Type]]=Data!$Z$4),VLOOKUP(TblTrvlDetails[[#This Row],[Rate Unique '#]],newrate,5,0),
IF(AND(TblTrvlDetails[[#This Row],[D/I]]="D",TblTrvlDetails[[#This Row],[Rate Type]]=Data!$Z$5),VLOOKUP(TblTrvlDetails[[#This Row],[Rate Unique '#]],newrate,5,0),0)))))),0),
IF($G29&gt;=DATEVALUE("10/1/25"),IFERROR((
IF(AND(TblTrvlDetails[[#This Row],[D/I]]="I",TblTrvlDetails[[#This Row],[M&amp;IE Rates/Day
based on Rate Type]]&gt;265),TblTrvlDetails[[#This Row],[M&amp;IE Rates/Day
based on Rate Type]]*Data!C18,
IF(AND(TblTrvlDetails[[#This Row],[D/I]]="I",TblTrvlDetails[[#This Row],[M&amp;IE Rates/Day
based on Rate Type]]&lt;=265,TblTrvlDetails[[#This Row],[Rate Type]]=Data!$Z$4),VLOOKUP(TblTrvlDetails[[#This Row],[Full Amt]],TblIntl2024[],4,FALSE),
IF(AND(TblTrvlDetails[[#This Row],[D/I]]="I",TblTrvlDetails[[#This Row],[M&amp;IE Rates/Day
based on Rate Type]]&lt;=265,TblTrvlDetails[[#This Row],[Rate Type]]=Data!$Z$5),VLOOKUP(TblTrvlDetails[[#This Row],[Full Amt]],TblIntl2024[],4,FALSE),
IF(AND(TblTrvlDetails[[#This Row],[D/I]]="D",TblTrvlDetails[[#This Row],[Rate Type]]=Data!$Z$4),VLOOKUP(TblTrvlDetails[[#This Row],[Rate Unique '#]],newrate,5,0),
IF(AND(TblTrvlDetails[[#This Row],[D/I]]="D",TblTrvlDetails[[#This Row],[Rate Type]]=Data!$Z$5),VLOOKUP(TblTrvlDetails[[#This Row],[Rate Unique '#]],newrate,5,0),0)))))),0))))</f>
        <v>0</v>
      </c>
      <c r="W29" s="27">
        <f>IF($G29="Enter Date",0,
IF(AND($G29&lt;&gt;"Enter Date",$G29&lt;DATEVALUE("10/1/25")),
IFERROR((
IF(AND(TblTrvlDetails[[#This Row],[D/I]]="I",TblTrvlDetails[[#This Row],[M&amp;IE Rates/Day
based on Rate Type]]&gt;265),TblTrvlDetails[[#This Row],[M&amp;IE Rates/Day
based on Rate Type]]*Data!C18,
IF(AND(TblTrvlDetails[[#This Row],[D/I]]="I",TblTrvlDetails[[#This Row],[M&amp;IE Rates/Day
based on Rate Type]]&lt;=265,TblTrvlDetails[[#This Row],[Rate Type]]=Data!$Z$4),VLOOKUP(TblTrvlDetails[[#This Row],[Full Amt]],TblIntl[],5,FALSE),
IF(AND(TblTrvlDetails[[#This Row],[D/I]]="I",TblTrvlDetails[[#This Row],[M&amp;IE Rates/Day
based on Rate Type]]&lt;=265,TblTrvlDetails[[#This Row],[Rate Type]]=Data!$Z$5),VLOOKUP(TblTrvlDetails[[#This Row],[Full Amt]],TblIntl[],5,FALSE),
IF(AND(TblTrvlDetails[[#This Row],[D/I]]="D",TblTrvlDetails[[#This Row],[Rate Type]]=Data!$Z$4),VLOOKUP(TblTrvlDetails[[#This Row],[Rate Unique '#]],newrate,6,0),
IF(AND(TblTrvlDetails[[#This Row],[D/I]]="D",TblTrvlDetails[[#This Row],[Rate Type]]=Data!$Z$5),VLOOKUP(TblTrvlDetails[[#This Row],[Rate Unique '#]],newrate,6,0),0)))))),0),
IF($G29&gt;=DATEVALUE("10/1/25"),IFERROR((
IF(AND(TblTrvlDetails[[#This Row],[D/I]]="I",TblTrvlDetails[[#This Row],[M&amp;IE Rates/Day
based on Rate Type]]&gt;265),TblTrvlDetails[[#This Row],[M&amp;IE Rates/Day
based on Rate Type]]*Data!C18,
IF(AND(TblTrvlDetails[[#This Row],[D/I]]="I",TblTrvlDetails[[#This Row],[M&amp;IE Rates/Day
based on Rate Type]]&lt;=265,TblTrvlDetails[[#This Row],[Rate Type]]=Data!$Z$4),VLOOKUP(TblTrvlDetails[[#This Row],[Full Amt]],TblIntl2024[],5,FALSE),
IF(AND(TblTrvlDetails[[#This Row],[D/I]]="I",TblTrvlDetails[[#This Row],[M&amp;IE Rates/Day
based on Rate Type]]&lt;=265,TblTrvlDetails[[#This Row],[Rate Type]]=Data!$Z$5),VLOOKUP(TblTrvlDetails[[#This Row],[Full Amt]],TblIntl2024[],5,FALSE),
IF(AND(TblTrvlDetails[[#This Row],[D/I]]="D",TblTrvlDetails[[#This Row],[Rate Type]]=Data!$Z$4),VLOOKUP(TblTrvlDetails[[#This Row],[Rate Unique '#]],newrate,6,0),
IF(AND(TblTrvlDetails[[#This Row],[D/I]]="D",TblTrvlDetails[[#This Row],[Rate Type]]=Data!$Z$5),VLOOKUP(TblTrvlDetails[[#This Row],[Rate Unique '#]],newrate,6,0),0)))))),0))))</f>
        <v>0</v>
      </c>
      <c r="X29" s="31">
        <f>SUM(IFERROR(SUMIFS(TblTrvlDetails[[#This Row],[Miles*]],TblTrvlDetails[[#This Row],[Travel Date
required]],"&lt;01/01/2025")*(VLOOKUP("Car Mileage",TblTransport[#All],2,FALSE)),0),IFERROR(SUMIFS(TblTrvlDetails[[#This Row],[Miles*]],TblTrvlDetails[[#This Row],[Travel Date
required]],"&gt;=01/01/2025")*(VLOOKUP("Car Mileage",TblTransport[#All],3,FALSE)),0),TblTrvlDetails[[#This Row],[M&amp;IE Total]:[Lodging*]],TblTrvlDetails[[#This Row],[Ground Transport*]:[Business Expense*]])</f>
        <v>0</v>
      </c>
      <c r="Y29" s="75">
        <v>0</v>
      </c>
      <c r="Z29" s="71" t="e">
        <f>IF(MONTH(TblTrvlDetails[[#This Row],[Travel Date
required]])&lt;10,YEAR(TblTrvlDetails[[#This Row],[Travel Date
required]]),YEAR(TblTrvlDetails[[#This Row],[Travel Date
required]])+1)</f>
        <v>#VALUE!</v>
      </c>
      <c r="AA29" s="72" t="e">
        <f>CONCATENATE(TblTrvlDetails[[#This Row],[GSA FY]],TblTrvlDetails[[#This Row],[Full Amt]])</f>
        <v>#VALUE!</v>
      </c>
    </row>
  </sheetData>
  <mergeCells count="11">
    <mergeCell ref="I13:K13"/>
    <mergeCell ref="C3:D3"/>
    <mergeCell ref="C4:D4"/>
    <mergeCell ref="Y2:Y4"/>
    <mergeCell ref="G3:H3"/>
    <mergeCell ref="G5:H5"/>
    <mergeCell ref="G4:H4"/>
    <mergeCell ref="L2:R3"/>
    <mergeCell ref="Q10:R11"/>
    <mergeCell ref="X10:Y11"/>
    <mergeCell ref="F11:P11"/>
  </mergeCells>
  <phoneticPr fontId="12" type="noConversion"/>
  <conditionalFormatting sqref="F4:F5">
    <cfRule type="expression" dxfId="1" priority="1">
      <formula>(ISBLANK(G4))</formula>
    </cfRule>
  </conditionalFormatting>
  <conditionalFormatting sqref="G15:G29">
    <cfRule type="containsText" dxfId="0" priority="4" operator="containsText" text="Enter Date">
      <formula>NOT(ISERROR(SEARCH("Enter Date",G15)))</formula>
    </cfRule>
  </conditionalFormatting>
  <dataValidations count="2">
    <dataValidation type="list" allowBlank="1" showInputMessage="1" showErrorMessage="1" sqref="B15:B29" xr:uid="{F15AC928-CC7A-4E74-B9C1-4B01E9C723CE}">
      <formula1>$B$7:$B$11</formula1>
    </dataValidation>
    <dataValidation allowBlank="1" showInputMessage="1" showErrorMessage="1" promptTitle="TRAVEL DATE for M&amp;IE" prompt="For $0 values, please validate per diem rate is appropriate for travel dates on detail lines." sqref="L14" xr:uid="{D5605415-2D4D-4D8B-A666-57BF829BCE23}"/>
  </dataValidations>
  <hyperlinks>
    <hyperlink ref="D6" r:id="rId1" display="International Rates (State Dept)" xr:uid="{21DD02F2-915F-4D90-9C34-CF297AEA1277}"/>
    <hyperlink ref="C6" r:id="rId2" xr:uid="{EAD12657-15CC-462B-8F73-3AA76AC31235}"/>
  </hyperlinks>
  <printOptions horizontalCentered="1"/>
  <pageMargins left="0.25" right="0.25" top="0.75" bottom="0.25" header="0.3" footer="0.05"/>
  <pageSetup scale="63" orientation="landscape" r:id="rId3"/>
  <headerFooter>
    <oddHeader>&amp;L&amp;G</oddHeader>
    <oddFooter>&amp;L&amp;"-,Italic"&amp;9Version 2 - 11/13/23&amp;R&amp;"-,Italic"&amp;9&amp;D&amp;T</oddFooter>
  </headerFooter>
  <ignoredErrors>
    <ignoredError sqref="G17:G29 H15:H19" unlockedFormula="1"/>
    <ignoredError sqref="H20:H29 I17:I29 K15:K18 J17:J29 J15 I16:J16 I15 K19:K29" calculatedColumn="1"/>
  </ignoredErrors>
  <drawing r:id="rId4"/>
  <legacyDrawingHF r:id="rId5"/>
  <tableParts count="2">
    <tablePart r:id="rId6"/>
    <tablePart r:id="rId7"/>
  </tableParts>
  <extLst>
    <ext xmlns:x14="http://schemas.microsoft.com/office/spreadsheetml/2009/9/main" uri="{CCE6A557-97BC-4b89-ADB6-D9C93CAAB3DF}">
      <x14:dataValidations xmlns:xm="http://schemas.microsoft.com/office/excel/2006/main" count="2">
        <x14:dataValidation type="list" allowBlank="1" showInputMessage="1" showErrorMessage="1" xr:uid="{E0108D65-8053-483B-9BF2-E01394D20001}">
          <x14:formula1>
            <xm:f>Data!$Z$4:$Z$6</xm:f>
          </x14:formula1>
          <xm:sqref>C15:C29</xm:sqref>
        </x14:dataValidation>
        <x14:dataValidation type="list" allowBlank="1" showInputMessage="1" showErrorMessage="1" xr:uid="{DE094C07-7717-4590-923A-2A5E75732D31}">
          <x14:formula1>
            <xm:f>IF($E$6="2024",Data!$N$4:$N$9,IF($E$6="2025",Data!$N$10:$N$15,Data!$N$4:$N$14))</xm:f>
          </x14:formula1>
          <xm:sqref>C7:C11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C5F4D-3071-42F1-B03A-EF36C533C05C}">
  <dimension ref="A1:C14"/>
  <sheetViews>
    <sheetView showGridLines="0" showRowColHeaders="0" topLeftCell="A5" workbookViewId="0">
      <selection activeCell="B10" sqref="B10"/>
    </sheetView>
  </sheetViews>
  <sheetFormatPr defaultRowHeight="15" x14ac:dyDescent="0.25"/>
  <cols>
    <col min="1" max="1" width="9.140625" customWidth="1"/>
    <col min="2" max="2" width="49.85546875" customWidth="1"/>
    <col min="3" max="3" width="10.42578125" bestFit="1" customWidth="1"/>
  </cols>
  <sheetData>
    <row r="1" spans="1:3" x14ac:dyDescent="0.25">
      <c r="A1" s="65" t="s">
        <v>69</v>
      </c>
      <c r="B1" s="66" t="s">
        <v>72</v>
      </c>
      <c r="C1" s="64" t="s">
        <v>73</v>
      </c>
    </row>
    <row r="2" spans="1:3" x14ac:dyDescent="0.25">
      <c r="A2" s="77">
        <v>1</v>
      </c>
      <c r="B2" s="79" t="s">
        <v>70</v>
      </c>
      <c r="C2" s="78">
        <v>45236</v>
      </c>
    </row>
    <row r="3" spans="1:3" x14ac:dyDescent="0.25">
      <c r="A3" s="77">
        <v>2</v>
      </c>
      <c r="B3" s="79" t="s">
        <v>71</v>
      </c>
      <c r="C3" s="78">
        <v>45243</v>
      </c>
    </row>
    <row r="4" spans="1:3" ht="30" x14ac:dyDescent="0.25">
      <c r="A4" s="77">
        <v>3</v>
      </c>
      <c r="B4" s="79" t="s">
        <v>74</v>
      </c>
      <c r="C4" s="78">
        <v>45271</v>
      </c>
    </row>
    <row r="5" spans="1:3" ht="30" x14ac:dyDescent="0.25">
      <c r="A5" s="77">
        <v>4</v>
      </c>
      <c r="B5" s="79" t="s">
        <v>75</v>
      </c>
      <c r="C5" s="78">
        <v>45280</v>
      </c>
    </row>
    <row r="6" spans="1:3" ht="30" x14ac:dyDescent="0.25">
      <c r="A6" s="77">
        <v>5</v>
      </c>
      <c r="B6" s="79" t="s">
        <v>78</v>
      </c>
      <c r="C6" s="78">
        <v>45566</v>
      </c>
    </row>
    <row r="7" spans="1:3" ht="150" x14ac:dyDescent="0.25">
      <c r="A7" s="77">
        <v>6</v>
      </c>
      <c r="B7" s="79" t="s">
        <v>91</v>
      </c>
      <c r="C7" s="78">
        <v>45575</v>
      </c>
    </row>
    <row r="8" spans="1:3" ht="45" x14ac:dyDescent="0.25">
      <c r="A8" s="77">
        <v>7</v>
      </c>
      <c r="B8" s="79" t="s">
        <v>92</v>
      </c>
      <c r="C8" s="78">
        <v>45575</v>
      </c>
    </row>
    <row r="9" spans="1:3" ht="75" x14ac:dyDescent="0.25">
      <c r="A9" s="77">
        <v>8</v>
      </c>
      <c r="B9" s="79" t="s">
        <v>94</v>
      </c>
      <c r="C9" s="78">
        <v>45658</v>
      </c>
    </row>
    <row r="10" spans="1:3" ht="30" x14ac:dyDescent="0.25">
      <c r="A10" s="77">
        <v>9</v>
      </c>
      <c r="B10" s="79" t="s">
        <v>101</v>
      </c>
      <c r="C10" s="78">
        <v>45940</v>
      </c>
    </row>
    <row r="11" spans="1:3" x14ac:dyDescent="0.25">
      <c r="A11" s="77"/>
      <c r="B11" s="79"/>
      <c r="C11" s="80"/>
    </row>
    <row r="12" spans="1:3" x14ac:dyDescent="0.25">
      <c r="A12" s="77"/>
      <c r="B12" s="79"/>
      <c r="C12" s="80"/>
    </row>
    <row r="13" spans="1:3" x14ac:dyDescent="0.25">
      <c r="A13" s="77"/>
      <c r="B13" s="79"/>
      <c r="C13" s="80"/>
    </row>
    <row r="14" spans="1:3" x14ac:dyDescent="0.25">
      <c r="A14" s="81"/>
      <c r="B14" s="83"/>
      <c r="C14" s="82"/>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9BCBB-851D-4F92-B8E4-999C867B664C}">
  <dimension ref="A1:Z269"/>
  <sheetViews>
    <sheetView showGridLines="0" topLeftCell="E1" workbookViewId="0">
      <selection activeCell="S17" sqref="S17"/>
    </sheetView>
  </sheetViews>
  <sheetFormatPr defaultRowHeight="15" x14ac:dyDescent="0.25"/>
  <cols>
    <col min="1" max="1" width="13.7109375" style="18" customWidth="1"/>
    <col min="2" max="4" width="13.28515625" customWidth="1"/>
    <col min="5" max="5" width="13.85546875" customWidth="1"/>
    <col min="7" max="7" width="12.5703125" bestFit="1" customWidth="1"/>
    <col min="8" max="8" width="11.28515625" bestFit="1" customWidth="1"/>
    <col min="9" max="9" width="9.42578125" bestFit="1" customWidth="1"/>
    <col min="10" max="10" width="8" bestFit="1" customWidth="1"/>
    <col min="11" max="11" width="12.85546875" bestFit="1" customWidth="1"/>
    <col min="13" max="13" width="16.140625" bestFit="1" customWidth="1"/>
    <col min="15" max="15" width="12.42578125" customWidth="1"/>
    <col min="17" max="17" width="9.28515625" bestFit="1" customWidth="1"/>
    <col min="19" max="19" width="9.85546875" bestFit="1" customWidth="1"/>
    <col min="21" max="21" width="15.85546875" customWidth="1"/>
    <col min="22" max="22" width="10.28515625" customWidth="1"/>
    <col min="23" max="23" width="8.85546875" customWidth="1"/>
    <col min="25" max="25" width="22" customWidth="1"/>
    <col min="26" max="26" width="21.85546875" bestFit="1" customWidth="1"/>
  </cols>
  <sheetData>
    <row r="1" spans="1:26" ht="15.75" x14ac:dyDescent="0.25">
      <c r="A1" s="19" t="s">
        <v>25</v>
      </c>
      <c r="C1" s="67">
        <v>45566</v>
      </c>
      <c r="G1" s="19" t="s">
        <v>25</v>
      </c>
      <c r="I1" s="67">
        <v>45931</v>
      </c>
      <c r="M1" s="1" t="s">
        <v>76</v>
      </c>
      <c r="O1" s="73"/>
      <c r="Q1" s="73"/>
      <c r="U1" t="s">
        <v>28</v>
      </c>
    </row>
    <row r="3" spans="1:26" x14ac:dyDescent="0.25">
      <c r="A3" s="16" t="s">
        <v>12</v>
      </c>
      <c r="B3" s="4" t="s">
        <v>0</v>
      </c>
      <c r="C3" s="4" t="s">
        <v>1</v>
      </c>
      <c r="D3" s="4" t="s">
        <v>2</v>
      </c>
      <c r="E3" s="5" t="s">
        <v>13</v>
      </c>
      <c r="G3" s="16" t="s">
        <v>12</v>
      </c>
      <c r="H3" s="4" t="s">
        <v>0</v>
      </c>
      <c r="I3" s="4" t="s">
        <v>1</v>
      </c>
      <c r="J3" s="4" t="s">
        <v>2</v>
      </c>
      <c r="K3" s="5" t="s">
        <v>13</v>
      </c>
      <c r="M3" s="3" t="s">
        <v>81</v>
      </c>
      <c r="N3" s="3" t="s">
        <v>15</v>
      </c>
      <c r="O3" s="3" t="s">
        <v>0</v>
      </c>
      <c r="P3" s="3" t="s">
        <v>1</v>
      </c>
      <c r="Q3" s="3" t="s">
        <v>2</v>
      </c>
      <c r="R3" s="3" t="s">
        <v>22</v>
      </c>
      <c r="S3" s="3" t="s">
        <v>9</v>
      </c>
      <c r="T3" s="3" t="s">
        <v>80</v>
      </c>
      <c r="V3" t="s">
        <v>29</v>
      </c>
      <c r="W3" t="s">
        <v>33</v>
      </c>
      <c r="X3" t="s">
        <v>93</v>
      </c>
      <c r="Z3" t="s">
        <v>17</v>
      </c>
    </row>
    <row r="4" spans="1:26" x14ac:dyDescent="0.25">
      <c r="A4" s="17" t="s">
        <v>14</v>
      </c>
      <c r="B4" s="6">
        <v>0.15</v>
      </c>
      <c r="C4" s="6">
        <v>0.25</v>
      </c>
      <c r="D4" s="6">
        <v>0.4</v>
      </c>
      <c r="E4" s="7">
        <v>0.2</v>
      </c>
      <c r="G4" s="17" t="s">
        <v>14</v>
      </c>
      <c r="H4" s="6">
        <v>0.15</v>
      </c>
      <c r="I4" s="6">
        <v>0.25</v>
      </c>
      <c r="J4" s="6">
        <v>0.4</v>
      </c>
      <c r="K4" s="7">
        <v>0.2</v>
      </c>
      <c r="M4" s="3" t="s">
        <v>82</v>
      </c>
      <c r="N4" s="3">
        <v>68</v>
      </c>
      <c r="O4" s="70">
        <v>16</v>
      </c>
      <c r="P4" s="70">
        <v>19</v>
      </c>
      <c r="Q4" s="70">
        <v>28</v>
      </c>
      <c r="R4" s="70">
        <v>5</v>
      </c>
      <c r="S4" s="70">
        <v>51</v>
      </c>
      <c r="T4" t="s">
        <v>89</v>
      </c>
      <c r="V4" t="s">
        <v>30</v>
      </c>
      <c r="Z4" t="s">
        <v>9</v>
      </c>
    </row>
    <row r="5" spans="1:26" x14ac:dyDescent="0.25">
      <c r="A5" s="8">
        <v>1</v>
      </c>
      <c r="B5" s="9">
        <v>0</v>
      </c>
      <c r="C5" s="9">
        <v>0</v>
      </c>
      <c r="D5" s="9">
        <v>0</v>
      </c>
      <c r="E5" s="10">
        <v>1</v>
      </c>
      <c r="G5" s="8">
        <v>1</v>
      </c>
      <c r="H5" s="9">
        <v>0</v>
      </c>
      <c r="I5" s="9">
        <v>0</v>
      </c>
      <c r="J5" s="9">
        <v>0</v>
      </c>
      <c r="K5" s="10">
        <v>1</v>
      </c>
      <c r="M5" s="3" t="s">
        <v>83</v>
      </c>
      <c r="N5" s="3">
        <v>74</v>
      </c>
      <c r="O5" s="70">
        <v>18</v>
      </c>
      <c r="P5" s="70">
        <v>20</v>
      </c>
      <c r="Q5" s="70">
        <v>31</v>
      </c>
      <c r="R5" s="70">
        <v>5</v>
      </c>
      <c r="S5" s="70">
        <v>55.5</v>
      </c>
      <c r="T5" t="s">
        <v>89</v>
      </c>
      <c r="V5" t="s">
        <v>31</v>
      </c>
      <c r="Z5" t="s">
        <v>10</v>
      </c>
    </row>
    <row r="6" spans="1:26" x14ac:dyDescent="0.25">
      <c r="A6" s="8">
        <v>2</v>
      </c>
      <c r="B6" s="9">
        <v>0</v>
      </c>
      <c r="C6" s="9">
        <v>0</v>
      </c>
      <c r="D6" s="9">
        <v>1</v>
      </c>
      <c r="E6" s="10">
        <v>1</v>
      </c>
      <c r="G6" s="8">
        <v>2</v>
      </c>
      <c r="H6" s="9">
        <v>0</v>
      </c>
      <c r="I6" s="9">
        <v>0</v>
      </c>
      <c r="J6" s="9">
        <v>1</v>
      </c>
      <c r="K6" s="10">
        <v>1</v>
      </c>
      <c r="M6" s="3" t="s">
        <v>84</v>
      </c>
      <c r="N6" s="3">
        <v>80</v>
      </c>
      <c r="O6" s="70">
        <v>20</v>
      </c>
      <c r="P6" s="70">
        <v>22</v>
      </c>
      <c r="Q6" s="70">
        <v>33</v>
      </c>
      <c r="R6" s="70">
        <v>5</v>
      </c>
      <c r="S6" s="70">
        <v>60</v>
      </c>
      <c r="T6" t="s">
        <v>89</v>
      </c>
      <c r="V6" t="s">
        <v>32</v>
      </c>
      <c r="W6" s="84">
        <v>0.67</v>
      </c>
      <c r="X6" s="84">
        <v>0.7</v>
      </c>
      <c r="Z6" t="s">
        <v>35</v>
      </c>
    </row>
    <row r="7" spans="1:26" x14ac:dyDescent="0.25">
      <c r="A7" s="8">
        <v>3</v>
      </c>
      <c r="B7" s="9">
        <v>0</v>
      </c>
      <c r="C7" s="9">
        <v>1</v>
      </c>
      <c r="D7" s="9">
        <v>1</v>
      </c>
      <c r="E7" s="10">
        <v>1</v>
      </c>
      <c r="G7" s="8">
        <v>3</v>
      </c>
      <c r="H7" s="9">
        <v>0</v>
      </c>
      <c r="I7" s="9">
        <v>1</v>
      </c>
      <c r="J7" s="9">
        <v>1</v>
      </c>
      <c r="K7" s="10">
        <v>1</v>
      </c>
      <c r="M7" s="3" t="s">
        <v>85</v>
      </c>
      <c r="N7" s="3">
        <v>86</v>
      </c>
      <c r="O7" s="70">
        <v>22</v>
      </c>
      <c r="P7" s="70">
        <v>23</v>
      </c>
      <c r="Q7" s="70">
        <v>36</v>
      </c>
      <c r="R7" s="70">
        <v>5</v>
      </c>
      <c r="S7" s="70">
        <v>64.5</v>
      </c>
      <c r="T7" t="s">
        <v>89</v>
      </c>
    </row>
    <row r="8" spans="1:26" x14ac:dyDescent="0.25">
      <c r="A8" s="8">
        <v>4</v>
      </c>
      <c r="B8" s="9">
        <v>1</v>
      </c>
      <c r="C8" s="9">
        <v>1</v>
      </c>
      <c r="D8" s="9">
        <v>1</v>
      </c>
      <c r="E8" s="10">
        <v>1</v>
      </c>
      <c r="G8" s="8">
        <v>4</v>
      </c>
      <c r="H8" s="9">
        <v>1</v>
      </c>
      <c r="I8" s="9">
        <v>1</v>
      </c>
      <c r="J8" s="9">
        <v>1</v>
      </c>
      <c r="K8" s="10">
        <v>1</v>
      </c>
      <c r="M8" s="3" t="s">
        <v>86</v>
      </c>
      <c r="N8" s="3">
        <v>92</v>
      </c>
      <c r="O8" s="70">
        <v>23</v>
      </c>
      <c r="P8" s="70">
        <v>26</v>
      </c>
      <c r="Q8" s="70">
        <v>38</v>
      </c>
      <c r="R8" s="70">
        <v>5</v>
      </c>
      <c r="S8" s="70">
        <v>69</v>
      </c>
      <c r="T8" t="s">
        <v>89</v>
      </c>
    </row>
    <row r="9" spans="1:26" x14ac:dyDescent="0.25">
      <c r="A9" s="8">
        <v>5</v>
      </c>
      <c r="B9" s="9">
        <v>1</v>
      </c>
      <c r="C9" s="9">
        <v>1</v>
      </c>
      <c r="D9" s="9">
        <v>2</v>
      </c>
      <c r="E9" s="10">
        <v>1</v>
      </c>
      <c r="G9" s="8">
        <v>5</v>
      </c>
      <c r="H9" s="9">
        <v>1</v>
      </c>
      <c r="I9" s="9">
        <v>1</v>
      </c>
      <c r="J9" s="9">
        <v>2</v>
      </c>
      <c r="K9" s="10">
        <v>1</v>
      </c>
      <c r="M9" s="3" t="s">
        <v>19</v>
      </c>
      <c r="N9" s="3" t="s">
        <v>19</v>
      </c>
      <c r="O9" s="3"/>
      <c r="P9" s="3"/>
      <c r="Q9" s="3"/>
      <c r="R9" s="3"/>
      <c r="S9" s="3"/>
    </row>
    <row r="10" spans="1:26" x14ac:dyDescent="0.25">
      <c r="A10" s="8">
        <v>6</v>
      </c>
      <c r="B10" s="9">
        <v>1</v>
      </c>
      <c r="C10" s="9">
        <v>2</v>
      </c>
      <c r="D10" s="9">
        <v>2</v>
      </c>
      <c r="E10" s="10">
        <v>1</v>
      </c>
      <c r="G10" s="8">
        <v>6</v>
      </c>
      <c r="H10" s="9">
        <v>1</v>
      </c>
      <c r="I10" s="9">
        <v>2</v>
      </c>
      <c r="J10" s="9">
        <v>2</v>
      </c>
      <c r="K10" s="10">
        <v>1</v>
      </c>
      <c r="M10" s="85" t="s">
        <v>95</v>
      </c>
      <c r="N10" s="3">
        <v>68</v>
      </c>
      <c r="O10" s="70">
        <v>16</v>
      </c>
      <c r="P10" s="70">
        <v>19</v>
      </c>
      <c r="Q10" s="70">
        <v>28</v>
      </c>
      <c r="R10" s="70">
        <v>5</v>
      </c>
      <c r="S10" s="70">
        <v>51</v>
      </c>
      <c r="T10" t="s">
        <v>96</v>
      </c>
    </row>
    <row r="11" spans="1:26" x14ac:dyDescent="0.25">
      <c r="A11" s="8">
        <v>7</v>
      </c>
      <c r="B11" s="9">
        <v>1</v>
      </c>
      <c r="C11" s="9">
        <v>2</v>
      </c>
      <c r="D11" s="9">
        <v>3</v>
      </c>
      <c r="E11" s="10">
        <v>1</v>
      </c>
      <c r="G11" s="8">
        <v>7</v>
      </c>
      <c r="H11" s="9">
        <v>1</v>
      </c>
      <c r="I11" s="9">
        <v>2</v>
      </c>
      <c r="J11" s="9">
        <v>3</v>
      </c>
      <c r="K11" s="10">
        <v>1</v>
      </c>
      <c r="M11" s="85" t="s">
        <v>97</v>
      </c>
      <c r="N11" s="3">
        <v>74</v>
      </c>
      <c r="O11" s="70">
        <v>18</v>
      </c>
      <c r="P11" s="70">
        <v>20</v>
      </c>
      <c r="Q11" s="70">
        <v>31</v>
      </c>
      <c r="R11" s="70">
        <v>5</v>
      </c>
      <c r="S11" s="70">
        <v>55.5</v>
      </c>
      <c r="T11" t="s">
        <v>96</v>
      </c>
    </row>
    <row r="12" spans="1:26" x14ac:dyDescent="0.25">
      <c r="A12" s="8">
        <v>8</v>
      </c>
      <c r="B12" s="9">
        <v>1</v>
      </c>
      <c r="C12" s="9">
        <v>2</v>
      </c>
      <c r="D12" s="9">
        <v>3</v>
      </c>
      <c r="E12" s="10">
        <v>2</v>
      </c>
      <c r="G12" s="8">
        <v>8</v>
      </c>
      <c r="H12" s="9">
        <v>1</v>
      </c>
      <c r="I12" s="9">
        <v>2</v>
      </c>
      <c r="J12" s="9">
        <v>3</v>
      </c>
      <c r="K12" s="10">
        <v>2</v>
      </c>
      <c r="M12" s="85" t="s">
        <v>98</v>
      </c>
      <c r="N12" s="3">
        <v>80</v>
      </c>
      <c r="O12" s="70">
        <v>20</v>
      </c>
      <c r="P12" s="70">
        <v>22</v>
      </c>
      <c r="Q12" s="70">
        <v>33</v>
      </c>
      <c r="R12" s="70">
        <v>5</v>
      </c>
      <c r="S12" s="70">
        <v>60</v>
      </c>
      <c r="T12" t="s">
        <v>96</v>
      </c>
    </row>
    <row r="13" spans="1:26" x14ac:dyDescent="0.25">
      <c r="A13" s="8">
        <v>9</v>
      </c>
      <c r="B13" s="9">
        <v>1</v>
      </c>
      <c r="C13" s="9">
        <v>2</v>
      </c>
      <c r="D13" s="9">
        <v>4</v>
      </c>
      <c r="E13" s="10">
        <v>2</v>
      </c>
      <c r="G13" s="8">
        <v>9</v>
      </c>
      <c r="H13" s="9">
        <v>1</v>
      </c>
      <c r="I13" s="9">
        <v>2</v>
      </c>
      <c r="J13" s="9">
        <v>4</v>
      </c>
      <c r="K13" s="10">
        <v>2</v>
      </c>
      <c r="M13" s="85" t="s">
        <v>99</v>
      </c>
      <c r="N13" s="3">
        <v>86</v>
      </c>
      <c r="O13" s="70">
        <v>22</v>
      </c>
      <c r="P13" s="70">
        <v>23</v>
      </c>
      <c r="Q13" s="70">
        <v>36</v>
      </c>
      <c r="R13" s="70">
        <v>5</v>
      </c>
      <c r="S13" s="70">
        <v>64.5</v>
      </c>
      <c r="T13" t="s">
        <v>96</v>
      </c>
    </row>
    <row r="14" spans="1:26" x14ac:dyDescent="0.25">
      <c r="A14" s="8">
        <v>10</v>
      </c>
      <c r="B14" s="9">
        <v>2</v>
      </c>
      <c r="C14" s="9">
        <v>2</v>
      </c>
      <c r="D14" s="9">
        <v>4</v>
      </c>
      <c r="E14" s="10">
        <v>2</v>
      </c>
      <c r="G14" s="8">
        <v>10</v>
      </c>
      <c r="H14" s="9">
        <v>2</v>
      </c>
      <c r="I14" s="9">
        <v>2</v>
      </c>
      <c r="J14" s="9">
        <v>4</v>
      </c>
      <c r="K14" s="10">
        <v>2</v>
      </c>
      <c r="M14" s="85" t="s">
        <v>100</v>
      </c>
      <c r="N14" s="3">
        <v>92</v>
      </c>
      <c r="O14" s="70">
        <v>23</v>
      </c>
      <c r="P14" s="70">
        <v>26</v>
      </c>
      <c r="Q14" s="70">
        <v>38</v>
      </c>
      <c r="R14" s="70">
        <v>5</v>
      </c>
      <c r="S14" s="70">
        <v>69</v>
      </c>
      <c r="T14" t="s">
        <v>96</v>
      </c>
    </row>
    <row r="15" spans="1:26" x14ac:dyDescent="0.25">
      <c r="A15" s="8">
        <v>11</v>
      </c>
      <c r="B15" s="9">
        <v>2</v>
      </c>
      <c r="C15" s="9">
        <v>3</v>
      </c>
      <c r="D15" s="9">
        <v>4</v>
      </c>
      <c r="E15" s="10">
        <v>2</v>
      </c>
      <c r="G15" s="8">
        <v>11</v>
      </c>
      <c r="H15" s="9">
        <v>2</v>
      </c>
      <c r="I15" s="9">
        <v>3</v>
      </c>
      <c r="J15" s="9">
        <v>4</v>
      </c>
      <c r="K15" s="10">
        <v>2</v>
      </c>
      <c r="M15" s="3" t="s">
        <v>19</v>
      </c>
      <c r="N15" s="3" t="s">
        <v>19</v>
      </c>
      <c r="O15" s="3"/>
      <c r="P15" s="3"/>
      <c r="Q15" s="3"/>
      <c r="R15" s="3"/>
      <c r="S15" s="3"/>
    </row>
    <row r="16" spans="1:26" x14ac:dyDescent="0.25">
      <c r="A16" s="8">
        <v>12</v>
      </c>
      <c r="B16" s="9">
        <v>2</v>
      </c>
      <c r="C16" s="9">
        <v>3</v>
      </c>
      <c r="D16" s="9">
        <v>5</v>
      </c>
      <c r="E16" s="10">
        <v>2</v>
      </c>
      <c r="G16" s="8">
        <v>12</v>
      </c>
      <c r="H16" s="9">
        <v>2</v>
      </c>
      <c r="I16" s="9">
        <v>3</v>
      </c>
      <c r="J16" s="9">
        <v>5</v>
      </c>
      <c r="K16" s="10">
        <v>2</v>
      </c>
    </row>
    <row r="17" spans="1:11" x14ac:dyDescent="0.25">
      <c r="A17" s="8">
        <v>13</v>
      </c>
      <c r="B17" s="9">
        <v>2</v>
      </c>
      <c r="C17" s="9">
        <v>3</v>
      </c>
      <c r="D17" s="9">
        <v>5</v>
      </c>
      <c r="E17" s="10">
        <v>3</v>
      </c>
      <c r="G17" s="8">
        <v>13</v>
      </c>
      <c r="H17" s="9">
        <v>2</v>
      </c>
      <c r="I17" s="9">
        <v>3</v>
      </c>
      <c r="J17" s="9">
        <v>5</v>
      </c>
      <c r="K17" s="10">
        <v>3</v>
      </c>
    </row>
    <row r="18" spans="1:11" x14ac:dyDescent="0.25">
      <c r="A18" s="8">
        <v>14</v>
      </c>
      <c r="B18" s="9">
        <v>2</v>
      </c>
      <c r="C18" s="9">
        <v>4</v>
      </c>
      <c r="D18" s="9">
        <v>5</v>
      </c>
      <c r="E18" s="10">
        <v>3</v>
      </c>
      <c r="G18" s="8">
        <v>14</v>
      </c>
      <c r="H18" s="9">
        <v>2</v>
      </c>
      <c r="I18" s="9">
        <v>4</v>
      </c>
      <c r="J18" s="9">
        <v>5</v>
      </c>
      <c r="K18" s="10">
        <v>3</v>
      </c>
    </row>
    <row r="19" spans="1:11" x14ac:dyDescent="0.25">
      <c r="A19" s="8">
        <v>15</v>
      </c>
      <c r="B19" s="9">
        <v>2</v>
      </c>
      <c r="C19" s="9">
        <v>4</v>
      </c>
      <c r="D19" s="9">
        <v>6</v>
      </c>
      <c r="E19" s="10">
        <v>3</v>
      </c>
      <c r="G19" s="8">
        <v>15</v>
      </c>
      <c r="H19" s="9">
        <v>2</v>
      </c>
      <c r="I19" s="9">
        <v>4</v>
      </c>
      <c r="J19" s="9">
        <v>6</v>
      </c>
      <c r="K19" s="10">
        <v>3</v>
      </c>
    </row>
    <row r="20" spans="1:11" x14ac:dyDescent="0.25">
      <c r="A20" s="8">
        <v>16</v>
      </c>
      <c r="B20" s="9">
        <v>2</v>
      </c>
      <c r="C20" s="9">
        <v>4</v>
      </c>
      <c r="D20" s="9">
        <v>7</v>
      </c>
      <c r="E20" s="10">
        <v>3</v>
      </c>
      <c r="G20" s="8">
        <v>16</v>
      </c>
      <c r="H20" s="9">
        <v>2</v>
      </c>
      <c r="I20" s="9">
        <v>4</v>
      </c>
      <c r="J20" s="9">
        <v>7</v>
      </c>
      <c r="K20" s="10">
        <v>3</v>
      </c>
    </row>
    <row r="21" spans="1:11" x14ac:dyDescent="0.25">
      <c r="A21" s="8">
        <v>17</v>
      </c>
      <c r="B21" s="9">
        <v>3</v>
      </c>
      <c r="C21" s="9">
        <v>4</v>
      </c>
      <c r="D21" s="9">
        <v>7</v>
      </c>
      <c r="E21" s="10">
        <v>3</v>
      </c>
      <c r="G21" s="8">
        <v>17</v>
      </c>
      <c r="H21" s="9">
        <v>3</v>
      </c>
      <c r="I21" s="9">
        <v>4</v>
      </c>
      <c r="J21" s="9">
        <v>7</v>
      </c>
      <c r="K21" s="10">
        <v>3</v>
      </c>
    </row>
    <row r="22" spans="1:11" x14ac:dyDescent="0.25">
      <c r="A22" s="8">
        <v>18</v>
      </c>
      <c r="B22" s="9">
        <v>3</v>
      </c>
      <c r="C22" s="9">
        <v>5</v>
      </c>
      <c r="D22" s="9">
        <v>7</v>
      </c>
      <c r="E22" s="10">
        <v>3</v>
      </c>
      <c r="G22" s="8">
        <v>18</v>
      </c>
      <c r="H22" s="9">
        <v>3</v>
      </c>
      <c r="I22" s="9">
        <v>5</v>
      </c>
      <c r="J22" s="9">
        <v>7</v>
      </c>
      <c r="K22" s="10">
        <v>3</v>
      </c>
    </row>
    <row r="23" spans="1:11" x14ac:dyDescent="0.25">
      <c r="A23" s="8">
        <v>19</v>
      </c>
      <c r="B23" s="9">
        <v>3</v>
      </c>
      <c r="C23" s="9">
        <v>5</v>
      </c>
      <c r="D23" s="9">
        <v>8</v>
      </c>
      <c r="E23" s="10">
        <v>3</v>
      </c>
      <c r="G23" s="8">
        <v>19</v>
      </c>
      <c r="H23" s="9">
        <v>3</v>
      </c>
      <c r="I23" s="9">
        <v>5</v>
      </c>
      <c r="J23" s="9">
        <v>8</v>
      </c>
      <c r="K23" s="10">
        <v>3</v>
      </c>
    </row>
    <row r="24" spans="1:11" x14ac:dyDescent="0.25">
      <c r="A24" s="8">
        <v>20</v>
      </c>
      <c r="B24" s="9">
        <v>3</v>
      </c>
      <c r="C24" s="9">
        <v>5</v>
      </c>
      <c r="D24" s="9">
        <v>8</v>
      </c>
      <c r="E24" s="10">
        <v>4</v>
      </c>
      <c r="G24" s="8">
        <v>20</v>
      </c>
      <c r="H24" s="9">
        <v>3</v>
      </c>
      <c r="I24" s="9">
        <v>5</v>
      </c>
      <c r="J24" s="9">
        <v>8</v>
      </c>
      <c r="K24" s="10">
        <v>4</v>
      </c>
    </row>
    <row r="25" spans="1:11" x14ac:dyDescent="0.25">
      <c r="A25" s="8">
        <v>21</v>
      </c>
      <c r="B25" s="9">
        <v>3</v>
      </c>
      <c r="C25" s="9">
        <v>5</v>
      </c>
      <c r="D25" s="9">
        <v>9</v>
      </c>
      <c r="E25" s="10">
        <v>4</v>
      </c>
      <c r="G25" s="8">
        <v>21</v>
      </c>
      <c r="H25" s="9">
        <v>3</v>
      </c>
      <c r="I25" s="9">
        <v>5</v>
      </c>
      <c r="J25" s="9">
        <v>9</v>
      </c>
      <c r="K25" s="10">
        <v>4</v>
      </c>
    </row>
    <row r="26" spans="1:11" x14ac:dyDescent="0.25">
      <c r="A26" s="8">
        <v>22</v>
      </c>
      <c r="B26" s="9">
        <v>3</v>
      </c>
      <c r="C26" s="9">
        <v>6</v>
      </c>
      <c r="D26" s="9">
        <v>9</v>
      </c>
      <c r="E26" s="10">
        <v>4</v>
      </c>
      <c r="G26" s="8">
        <v>22</v>
      </c>
      <c r="H26" s="9">
        <v>3</v>
      </c>
      <c r="I26" s="9">
        <v>6</v>
      </c>
      <c r="J26" s="9">
        <v>9</v>
      </c>
      <c r="K26" s="10">
        <v>4</v>
      </c>
    </row>
    <row r="27" spans="1:11" x14ac:dyDescent="0.25">
      <c r="A27" s="8">
        <v>23</v>
      </c>
      <c r="B27" s="9">
        <v>3</v>
      </c>
      <c r="C27" s="9">
        <v>6</v>
      </c>
      <c r="D27" s="9">
        <v>9</v>
      </c>
      <c r="E27" s="10">
        <v>5</v>
      </c>
      <c r="G27" s="8">
        <v>23</v>
      </c>
      <c r="H27" s="9">
        <v>3</v>
      </c>
      <c r="I27" s="9">
        <v>6</v>
      </c>
      <c r="J27" s="9">
        <v>9</v>
      </c>
      <c r="K27" s="10">
        <v>5</v>
      </c>
    </row>
    <row r="28" spans="1:11" x14ac:dyDescent="0.25">
      <c r="A28" s="8">
        <v>24</v>
      </c>
      <c r="B28" s="9">
        <v>4</v>
      </c>
      <c r="C28" s="9">
        <v>6</v>
      </c>
      <c r="D28" s="9">
        <v>9</v>
      </c>
      <c r="E28" s="10">
        <v>5</v>
      </c>
      <c r="G28" s="8">
        <v>24</v>
      </c>
      <c r="H28" s="9">
        <v>4</v>
      </c>
      <c r="I28" s="9">
        <v>6</v>
      </c>
      <c r="J28" s="9">
        <v>9</v>
      </c>
      <c r="K28" s="10">
        <v>5</v>
      </c>
    </row>
    <row r="29" spans="1:11" x14ac:dyDescent="0.25">
      <c r="A29" s="8">
        <v>25</v>
      </c>
      <c r="B29" s="9">
        <v>4</v>
      </c>
      <c r="C29" s="9">
        <v>6</v>
      </c>
      <c r="D29" s="9">
        <v>10</v>
      </c>
      <c r="E29" s="10">
        <v>5</v>
      </c>
      <c r="G29" s="8">
        <v>25</v>
      </c>
      <c r="H29" s="9">
        <v>4</v>
      </c>
      <c r="I29" s="9">
        <v>6</v>
      </c>
      <c r="J29" s="9">
        <v>10</v>
      </c>
      <c r="K29" s="10">
        <v>5</v>
      </c>
    </row>
    <row r="30" spans="1:11" x14ac:dyDescent="0.25">
      <c r="A30" s="8">
        <v>26</v>
      </c>
      <c r="B30" s="9">
        <v>4</v>
      </c>
      <c r="C30" s="9">
        <v>7</v>
      </c>
      <c r="D30" s="9">
        <v>10</v>
      </c>
      <c r="E30" s="10">
        <v>5</v>
      </c>
      <c r="G30" s="8">
        <v>26</v>
      </c>
      <c r="H30" s="9">
        <v>4</v>
      </c>
      <c r="I30" s="9">
        <v>7</v>
      </c>
      <c r="J30" s="9">
        <v>10</v>
      </c>
      <c r="K30" s="10">
        <v>5</v>
      </c>
    </row>
    <row r="31" spans="1:11" x14ac:dyDescent="0.25">
      <c r="A31" s="8">
        <v>27</v>
      </c>
      <c r="B31" s="9">
        <v>4</v>
      </c>
      <c r="C31" s="9">
        <v>7</v>
      </c>
      <c r="D31" s="9">
        <v>11</v>
      </c>
      <c r="E31" s="10">
        <v>5</v>
      </c>
      <c r="G31" s="8">
        <v>27</v>
      </c>
      <c r="H31" s="9">
        <v>4</v>
      </c>
      <c r="I31" s="9">
        <v>7</v>
      </c>
      <c r="J31" s="9">
        <v>11</v>
      </c>
      <c r="K31" s="10">
        <v>5</v>
      </c>
    </row>
    <row r="32" spans="1:11" x14ac:dyDescent="0.25">
      <c r="A32" s="8">
        <v>28</v>
      </c>
      <c r="B32" s="9">
        <v>4</v>
      </c>
      <c r="C32" s="9">
        <v>7</v>
      </c>
      <c r="D32" s="9">
        <v>11</v>
      </c>
      <c r="E32" s="10">
        <v>6</v>
      </c>
      <c r="G32" s="8">
        <v>28</v>
      </c>
      <c r="H32" s="9">
        <v>4</v>
      </c>
      <c r="I32" s="9">
        <v>7</v>
      </c>
      <c r="J32" s="9">
        <v>11</v>
      </c>
      <c r="K32" s="10">
        <v>6</v>
      </c>
    </row>
    <row r="33" spans="1:11" x14ac:dyDescent="0.25">
      <c r="A33" s="8">
        <v>29</v>
      </c>
      <c r="B33" s="9">
        <v>4</v>
      </c>
      <c r="C33" s="9">
        <v>7</v>
      </c>
      <c r="D33" s="9">
        <v>12</v>
      </c>
      <c r="E33" s="10">
        <v>6</v>
      </c>
      <c r="G33" s="8">
        <v>29</v>
      </c>
      <c r="H33" s="9">
        <v>4</v>
      </c>
      <c r="I33" s="9">
        <v>7</v>
      </c>
      <c r="J33" s="9">
        <v>12</v>
      </c>
      <c r="K33" s="10">
        <v>6</v>
      </c>
    </row>
    <row r="34" spans="1:11" x14ac:dyDescent="0.25">
      <c r="A34" s="8">
        <v>30</v>
      </c>
      <c r="B34" s="9">
        <v>5</v>
      </c>
      <c r="C34" s="9">
        <v>7</v>
      </c>
      <c r="D34" s="9">
        <v>12</v>
      </c>
      <c r="E34" s="10">
        <v>6</v>
      </c>
      <c r="G34" s="8">
        <v>30</v>
      </c>
      <c r="H34" s="9">
        <v>5</v>
      </c>
      <c r="I34" s="9">
        <v>7</v>
      </c>
      <c r="J34" s="9">
        <v>12</v>
      </c>
      <c r="K34" s="10">
        <v>6</v>
      </c>
    </row>
    <row r="35" spans="1:11" x14ac:dyDescent="0.25">
      <c r="A35" s="8">
        <v>31</v>
      </c>
      <c r="B35" s="9">
        <v>5</v>
      </c>
      <c r="C35" s="9">
        <v>8</v>
      </c>
      <c r="D35" s="9">
        <v>12</v>
      </c>
      <c r="E35" s="10">
        <v>6</v>
      </c>
      <c r="G35" s="8">
        <v>31</v>
      </c>
      <c r="H35" s="9">
        <v>5</v>
      </c>
      <c r="I35" s="9">
        <v>8</v>
      </c>
      <c r="J35" s="9">
        <v>12</v>
      </c>
      <c r="K35" s="10">
        <v>6</v>
      </c>
    </row>
    <row r="36" spans="1:11" x14ac:dyDescent="0.25">
      <c r="A36" s="8">
        <v>32</v>
      </c>
      <c r="B36" s="9">
        <v>5</v>
      </c>
      <c r="C36" s="9">
        <v>8</v>
      </c>
      <c r="D36" s="9">
        <v>13</v>
      </c>
      <c r="E36" s="10">
        <v>6</v>
      </c>
      <c r="G36" s="8">
        <v>32</v>
      </c>
      <c r="H36" s="9">
        <v>5</v>
      </c>
      <c r="I36" s="9">
        <v>8</v>
      </c>
      <c r="J36" s="9">
        <v>13</v>
      </c>
      <c r="K36" s="10">
        <v>6</v>
      </c>
    </row>
    <row r="37" spans="1:11" x14ac:dyDescent="0.25">
      <c r="A37" s="8">
        <v>33</v>
      </c>
      <c r="B37" s="9">
        <v>5</v>
      </c>
      <c r="C37" s="9">
        <v>8</v>
      </c>
      <c r="D37" s="9">
        <v>13</v>
      </c>
      <c r="E37" s="10">
        <v>7</v>
      </c>
      <c r="G37" s="8">
        <v>33</v>
      </c>
      <c r="H37" s="9">
        <v>5</v>
      </c>
      <c r="I37" s="9">
        <v>8</v>
      </c>
      <c r="J37" s="9">
        <v>13</v>
      </c>
      <c r="K37" s="10">
        <v>7</v>
      </c>
    </row>
    <row r="38" spans="1:11" x14ac:dyDescent="0.25">
      <c r="A38" s="8">
        <v>34</v>
      </c>
      <c r="B38" s="9">
        <v>5</v>
      </c>
      <c r="C38" s="9">
        <v>9</v>
      </c>
      <c r="D38" s="9">
        <v>13</v>
      </c>
      <c r="E38" s="10">
        <v>7</v>
      </c>
      <c r="G38" s="8">
        <v>34</v>
      </c>
      <c r="H38" s="9">
        <v>5</v>
      </c>
      <c r="I38" s="9">
        <v>9</v>
      </c>
      <c r="J38" s="9">
        <v>13</v>
      </c>
      <c r="K38" s="10">
        <v>7</v>
      </c>
    </row>
    <row r="39" spans="1:11" x14ac:dyDescent="0.25">
      <c r="A39" s="8">
        <v>35</v>
      </c>
      <c r="B39" s="9">
        <v>5</v>
      </c>
      <c r="C39" s="9">
        <v>9</v>
      </c>
      <c r="D39" s="9">
        <v>14</v>
      </c>
      <c r="E39" s="10">
        <v>7</v>
      </c>
      <c r="G39" s="8">
        <v>35</v>
      </c>
      <c r="H39" s="9">
        <v>5</v>
      </c>
      <c r="I39" s="9">
        <v>9</v>
      </c>
      <c r="J39" s="9">
        <v>14</v>
      </c>
      <c r="K39" s="10">
        <v>7</v>
      </c>
    </row>
    <row r="40" spans="1:11" x14ac:dyDescent="0.25">
      <c r="A40" s="8">
        <v>36</v>
      </c>
      <c r="B40" s="9">
        <v>5</v>
      </c>
      <c r="C40" s="9">
        <v>9</v>
      </c>
      <c r="D40" s="9">
        <v>15</v>
      </c>
      <c r="E40" s="10">
        <v>7</v>
      </c>
      <c r="G40" s="8">
        <v>36</v>
      </c>
      <c r="H40" s="9">
        <v>5</v>
      </c>
      <c r="I40" s="9">
        <v>9</v>
      </c>
      <c r="J40" s="9">
        <v>15</v>
      </c>
      <c r="K40" s="10">
        <v>7</v>
      </c>
    </row>
    <row r="41" spans="1:11" x14ac:dyDescent="0.25">
      <c r="A41" s="8">
        <v>37</v>
      </c>
      <c r="B41" s="9">
        <v>6</v>
      </c>
      <c r="C41" s="9">
        <v>9</v>
      </c>
      <c r="D41" s="9">
        <v>15</v>
      </c>
      <c r="E41" s="10">
        <v>7</v>
      </c>
      <c r="G41" s="8">
        <v>37</v>
      </c>
      <c r="H41" s="9">
        <v>6</v>
      </c>
      <c r="I41" s="9">
        <v>9</v>
      </c>
      <c r="J41" s="9">
        <v>15</v>
      </c>
      <c r="K41" s="10">
        <v>7</v>
      </c>
    </row>
    <row r="42" spans="1:11" x14ac:dyDescent="0.25">
      <c r="A42" s="8">
        <v>38</v>
      </c>
      <c r="B42" s="9">
        <v>6</v>
      </c>
      <c r="C42" s="9">
        <v>10</v>
      </c>
      <c r="D42" s="9">
        <v>15</v>
      </c>
      <c r="E42" s="10">
        <v>7</v>
      </c>
      <c r="G42" s="8">
        <v>38</v>
      </c>
      <c r="H42" s="9">
        <v>6</v>
      </c>
      <c r="I42" s="9">
        <v>10</v>
      </c>
      <c r="J42" s="9">
        <v>15</v>
      </c>
      <c r="K42" s="10">
        <v>7</v>
      </c>
    </row>
    <row r="43" spans="1:11" x14ac:dyDescent="0.25">
      <c r="A43" s="8">
        <v>39</v>
      </c>
      <c r="B43" s="9">
        <v>6</v>
      </c>
      <c r="C43" s="9">
        <v>10</v>
      </c>
      <c r="D43" s="9">
        <v>16</v>
      </c>
      <c r="E43" s="10">
        <v>7</v>
      </c>
      <c r="G43" s="8">
        <v>39</v>
      </c>
      <c r="H43" s="9">
        <v>6</v>
      </c>
      <c r="I43" s="9">
        <v>10</v>
      </c>
      <c r="J43" s="9">
        <v>16</v>
      </c>
      <c r="K43" s="10">
        <v>7</v>
      </c>
    </row>
    <row r="44" spans="1:11" x14ac:dyDescent="0.25">
      <c r="A44" s="8">
        <v>40</v>
      </c>
      <c r="B44" s="9">
        <v>6</v>
      </c>
      <c r="C44" s="9">
        <v>10</v>
      </c>
      <c r="D44" s="9">
        <v>16</v>
      </c>
      <c r="E44" s="10">
        <v>8</v>
      </c>
      <c r="G44" s="8">
        <v>40</v>
      </c>
      <c r="H44" s="9">
        <v>6</v>
      </c>
      <c r="I44" s="9">
        <v>10</v>
      </c>
      <c r="J44" s="9">
        <v>16</v>
      </c>
      <c r="K44" s="10">
        <v>8</v>
      </c>
    </row>
    <row r="45" spans="1:11" x14ac:dyDescent="0.25">
      <c r="A45" s="8">
        <v>41</v>
      </c>
      <c r="B45" s="9">
        <v>6</v>
      </c>
      <c r="C45" s="9">
        <v>10</v>
      </c>
      <c r="D45" s="9">
        <v>17</v>
      </c>
      <c r="E45" s="10">
        <v>8</v>
      </c>
      <c r="G45" s="8">
        <v>41</v>
      </c>
      <c r="H45" s="9">
        <v>6</v>
      </c>
      <c r="I45" s="9">
        <v>10</v>
      </c>
      <c r="J45" s="9">
        <v>17</v>
      </c>
      <c r="K45" s="10">
        <v>8</v>
      </c>
    </row>
    <row r="46" spans="1:11" x14ac:dyDescent="0.25">
      <c r="A46" s="8">
        <v>42</v>
      </c>
      <c r="B46" s="9">
        <v>6</v>
      </c>
      <c r="C46" s="9">
        <v>11</v>
      </c>
      <c r="D46" s="9">
        <v>17</v>
      </c>
      <c r="E46" s="10">
        <v>8</v>
      </c>
      <c r="G46" s="8">
        <v>42</v>
      </c>
      <c r="H46" s="9">
        <v>6</v>
      </c>
      <c r="I46" s="9">
        <v>11</v>
      </c>
      <c r="J46" s="9">
        <v>17</v>
      </c>
      <c r="K46" s="10">
        <v>8</v>
      </c>
    </row>
    <row r="47" spans="1:11" x14ac:dyDescent="0.25">
      <c r="A47" s="8">
        <v>43</v>
      </c>
      <c r="B47" s="9">
        <v>6</v>
      </c>
      <c r="C47" s="9">
        <v>11</v>
      </c>
      <c r="D47" s="9">
        <v>17</v>
      </c>
      <c r="E47" s="10">
        <v>9</v>
      </c>
      <c r="G47" s="8">
        <v>43</v>
      </c>
      <c r="H47" s="9">
        <v>6</v>
      </c>
      <c r="I47" s="9">
        <v>11</v>
      </c>
      <c r="J47" s="9">
        <v>17</v>
      </c>
      <c r="K47" s="10">
        <v>9</v>
      </c>
    </row>
    <row r="48" spans="1:11" x14ac:dyDescent="0.25">
      <c r="A48" s="8">
        <v>44</v>
      </c>
      <c r="B48" s="9">
        <v>7</v>
      </c>
      <c r="C48" s="9">
        <v>11</v>
      </c>
      <c r="D48" s="9">
        <v>17</v>
      </c>
      <c r="E48" s="10">
        <v>9</v>
      </c>
      <c r="G48" s="8">
        <v>44</v>
      </c>
      <c r="H48" s="9">
        <v>7</v>
      </c>
      <c r="I48" s="9">
        <v>11</v>
      </c>
      <c r="J48" s="9">
        <v>17</v>
      </c>
      <c r="K48" s="10">
        <v>9</v>
      </c>
    </row>
    <row r="49" spans="1:11" x14ac:dyDescent="0.25">
      <c r="A49" s="8">
        <v>45</v>
      </c>
      <c r="B49" s="9">
        <v>7</v>
      </c>
      <c r="C49" s="9">
        <v>11</v>
      </c>
      <c r="D49" s="9">
        <v>18</v>
      </c>
      <c r="E49" s="10">
        <v>9</v>
      </c>
      <c r="G49" s="8">
        <v>45</v>
      </c>
      <c r="H49" s="9">
        <v>7</v>
      </c>
      <c r="I49" s="9">
        <v>11</v>
      </c>
      <c r="J49" s="9">
        <v>18</v>
      </c>
      <c r="K49" s="10">
        <v>9</v>
      </c>
    </row>
    <row r="50" spans="1:11" x14ac:dyDescent="0.25">
      <c r="A50" s="8">
        <v>46</v>
      </c>
      <c r="B50" s="9">
        <v>7</v>
      </c>
      <c r="C50" s="9">
        <v>12</v>
      </c>
      <c r="D50" s="9">
        <v>18</v>
      </c>
      <c r="E50" s="10">
        <v>9</v>
      </c>
      <c r="G50" s="8">
        <v>46</v>
      </c>
      <c r="H50" s="9">
        <v>7</v>
      </c>
      <c r="I50" s="9">
        <v>12</v>
      </c>
      <c r="J50" s="9">
        <v>18</v>
      </c>
      <c r="K50" s="10">
        <v>9</v>
      </c>
    </row>
    <row r="51" spans="1:11" x14ac:dyDescent="0.25">
      <c r="A51" s="8">
        <v>47</v>
      </c>
      <c r="B51" s="9">
        <v>7</v>
      </c>
      <c r="C51" s="9">
        <v>12</v>
      </c>
      <c r="D51" s="9">
        <v>19</v>
      </c>
      <c r="E51" s="10">
        <v>9</v>
      </c>
      <c r="G51" s="8">
        <v>47</v>
      </c>
      <c r="H51" s="9">
        <v>7</v>
      </c>
      <c r="I51" s="9">
        <v>12</v>
      </c>
      <c r="J51" s="9">
        <v>19</v>
      </c>
      <c r="K51" s="10">
        <v>9</v>
      </c>
    </row>
    <row r="52" spans="1:11" x14ac:dyDescent="0.25">
      <c r="A52" s="8">
        <v>48</v>
      </c>
      <c r="B52" s="9">
        <v>7</v>
      </c>
      <c r="C52" s="9">
        <v>12</v>
      </c>
      <c r="D52" s="9">
        <v>19</v>
      </c>
      <c r="E52" s="10">
        <v>10</v>
      </c>
      <c r="G52" s="8">
        <v>48</v>
      </c>
      <c r="H52" s="9">
        <v>7</v>
      </c>
      <c r="I52" s="9">
        <v>12</v>
      </c>
      <c r="J52" s="9">
        <v>19</v>
      </c>
      <c r="K52" s="10">
        <v>10</v>
      </c>
    </row>
    <row r="53" spans="1:11" x14ac:dyDescent="0.25">
      <c r="A53" s="8">
        <v>49</v>
      </c>
      <c r="B53" s="9">
        <v>7</v>
      </c>
      <c r="C53" s="9">
        <v>12</v>
      </c>
      <c r="D53" s="9">
        <v>20</v>
      </c>
      <c r="E53" s="10">
        <v>10</v>
      </c>
      <c r="G53" s="8">
        <v>49</v>
      </c>
      <c r="H53" s="9">
        <v>7</v>
      </c>
      <c r="I53" s="9">
        <v>12</v>
      </c>
      <c r="J53" s="9">
        <v>20</v>
      </c>
      <c r="K53" s="10">
        <v>10</v>
      </c>
    </row>
    <row r="54" spans="1:11" x14ac:dyDescent="0.25">
      <c r="A54" s="8">
        <v>50</v>
      </c>
      <c r="B54" s="9">
        <v>8</v>
      </c>
      <c r="C54" s="9">
        <v>12</v>
      </c>
      <c r="D54" s="9">
        <v>20</v>
      </c>
      <c r="E54" s="10">
        <v>10</v>
      </c>
      <c r="G54" s="8">
        <v>50</v>
      </c>
      <c r="H54" s="9">
        <v>8</v>
      </c>
      <c r="I54" s="9">
        <v>12</v>
      </c>
      <c r="J54" s="9">
        <v>20</v>
      </c>
      <c r="K54" s="10">
        <v>10</v>
      </c>
    </row>
    <row r="55" spans="1:11" x14ac:dyDescent="0.25">
      <c r="A55" s="8">
        <v>51</v>
      </c>
      <c r="B55" s="9">
        <v>8</v>
      </c>
      <c r="C55" s="9">
        <v>13</v>
      </c>
      <c r="D55" s="9">
        <v>20</v>
      </c>
      <c r="E55" s="10">
        <v>10</v>
      </c>
      <c r="G55" s="8">
        <v>51</v>
      </c>
      <c r="H55" s="9">
        <v>8</v>
      </c>
      <c r="I55" s="9">
        <v>13</v>
      </c>
      <c r="J55" s="9">
        <v>20</v>
      </c>
      <c r="K55" s="10">
        <v>10</v>
      </c>
    </row>
    <row r="56" spans="1:11" x14ac:dyDescent="0.25">
      <c r="A56" s="8">
        <v>52</v>
      </c>
      <c r="B56" s="9">
        <v>8</v>
      </c>
      <c r="C56" s="9">
        <v>13</v>
      </c>
      <c r="D56" s="9">
        <v>21</v>
      </c>
      <c r="E56" s="10">
        <v>10</v>
      </c>
      <c r="G56" s="8">
        <v>52</v>
      </c>
      <c r="H56" s="9">
        <v>8</v>
      </c>
      <c r="I56" s="9">
        <v>13</v>
      </c>
      <c r="J56" s="9">
        <v>21</v>
      </c>
      <c r="K56" s="10">
        <v>10</v>
      </c>
    </row>
    <row r="57" spans="1:11" x14ac:dyDescent="0.25">
      <c r="A57" s="8">
        <v>53</v>
      </c>
      <c r="B57" s="9">
        <v>8</v>
      </c>
      <c r="C57" s="9">
        <v>13</v>
      </c>
      <c r="D57" s="9">
        <v>21</v>
      </c>
      <c r="E57" s="10">
        <v>11</v>
      </c>
      <c r="G57" s="8">
        <v>53</v>
      </c>
      <c r="H57" s="9">
        <v>8</v>
      </c>
      <c r="I57" s="9">
        <v>13</v>
      </c>
      <c r="J57" s="9">
        <v>21</v>
      </c>
      <c r="K57" s="10">
        <v>11</v>
      </c>
    </row>
    <row r="58" spans="1:11" x14ac:dyDescent="0.25">
      <c r="A58" s="8">
        <v>54</v>
      </c>
      <c r="B58" s="9">
        <v>8</v>
      </c>
      <c r="C58" s="9">
        <v>14</v>
      </c>
      <c r="D58" s="9">
        <v>21</v>
      </c>
      <c r="E58" s="10">
        <v>11</v>
      </c>
      <c r="G58" s="8">
        <v>54</v>
      </c>
      <c r="H58" s="9">
        <v>8</v>
      </c>
      <c r="I58" s="9">
        <v>14</v>
      </c>
      <c r="J58" s="9">
        <v>21</v>
      </c>
      <c r="K58" s="10">
        <v>11</v>
      </c>
    </row>
    <row r="59" spans="1:11" x14ac:dyDescent="0.25">
      <c r="A59" s="8">
        <v>55</v>
      </c>
      <c r="B59" s="9">
        <v>8</v>
      </c>
      <c r="C59" s="9">
        <v>14</v>
      </c>
      <c r="D59" s="9">
        <v>22</v>
      </c>
      <c r="E59" s="10">
        <v>11</v>
      </c>
      <c r="G59" s="8">
        <v>55</v>
      </c>
      <c r="H59" s="9">
        <v>8</v>
      </c>
      <c r="I59" s="9">
        <v>14</v>
      </c>
      <c r="J59" s="9">
        <v>22</v>
      </c>
      <c r="K59" s="10">
        <v>11</v>
      </c>
    </row>
    <row r="60" spans="1:11" x14ac:dyDescent="0.25">
      <c r="A60" s="8">
        <v>56</v>
      </c>
      <c r="B60" s="9">
        <v>8</v>
      </c>
      <c r="C60" s="9">
        <v>14</v>
      </c>
      <c r="D60" s="9">
        <v>23</v>
      </c>
      <c r="E60" s="10">
        <v>11</v>
      </c>
      <c r="G60" s="8">
        <v>56</v>
      </c>
      <c r="H60" s="9">
        <v>8</v>
      </c>
      <c r="I60" s="9">
        <v>14</v>
      </c>
      <c r="J60" s="9">
        <v>23</v>
      </c>
      <c r="K60" s="10">
        <v>11</v>
      </c>
    </row>
    <row r="61" spans="1:11" x14ac:dyDescent="0.25">
      <c r="A61" s="8">
        <v>57</v>
      </c>
      <c r="B61" s="9">
        <v>9</v>
      </c>
      <c r="C61" s="9">
        <v>14</v>
      </c>
      <c r="D61" s="9">
        <v>23</v>
      </c>
      <c r="E61" s="10">
        <v>11</v>
      </c>
      <c r="G61" s="8">
        <v>57</v>
      </c>
      <c r="H61" s="9">
        <v>9</v>
      </c>
      <c r="I61" s="9">
        <v>14</v>
      </c>
      <c r="J61" s="9">
        <v>23</v>
      </c>
      <c r="K61" s="10">
        <v>11</v>
      </c>
    </row>
    <row r="62" spans="1:11" x14ac:dyDescent="0.25">
      <c r="A62" s="8">
        <v>58</v>
      </c>
      <c r="B62" s="9">
        <v>9</v>
      </c>
      <c r="C62" s="9">
        <v>15</v>
      </c>
      <c r="D62" s="9">
        <v>23</v>
      </c>
      <c r="E62" s="10">
        <v>11</v>
      </c>
      <c r="G62" s="8">
        <v>58</v>
      </c>
      <c r="H62" s="9">
        <v>9</v>
      </c>
      <c r="I62" s="9">
        <v>15</v>
      </c>
      <c r="J62" s="9">
        <v>23</v>
      </c>
      <c r="K62" s="10">
        <v>11</v>
      </c>
    </row>
    <row r="63" spans="1:11" x14ac:dyDescent="0.25">
      <c r="A63" s="8">
        <v>59</v>
      </c>
      <c r="B63" s="9">
        <v>9</v>
      </c>
      <c r="C63" s="9">
        <v>15</v>
      </c>
      <c r="D63" s="9">
        <v>24</v>
      </c>
      <c r="E63" s="10">
        <v>11</v>
      </c>
      <c r="G63" s="8">
        <v>59</v>
      </c>
      <c r="H63" s="9">
        <v>9</v>
      </c>
      <c r="I63" s="9">
        <v>15</v>
      </c>
      <c r="J63" s="9">
        <v>24</v>
      </c>
      <c r="K63" s="10">
        <v>11</v>
      </c>
    </row>
    <row r="64" spans="1:11" x14ac:dyDescent="0.25">
      <c r="A64" s="8">
        <v>60</v>
      </c>
      <c r="B64" s="9">
        <v>9</v>
      </c>
      <c r="C64" s="9">
        <v>15</v>
      </c>
      <c r="D64" s="9">
        <v>24</v>
      </c>
      <c r="E64" s="10">
        <v>12</v>
      </c>
      <c r="G64" s="8">
        <v>60</v>
      </c>
      <c r="H64" s="9">
        <v>9</v>
      </c>
      <c r="I64" s="9">
        <v>15</v>
      </c>
      <c r="J64" s="9">
        <v>24</v>
      </c>
      <c r="K64" s="10">
        <v>12</v>
      </c>
    </row>
    <row r="65" spans="1:11" x14ac:dyDescent="0.25">
      <c r="A65" s="8">
        <v>61</v>
      </c>
      <c r="B65" s="9">
        <v>9</v>
      </c>
      <c r="C65" s="9">
        <v>15</v>
      </c>
      <c r="D65" s="9">
        <v>25</v>
      </c>
      <c r="E65" s="10">
        <v>12</v>
      </c>
      <c r="G65" s="8">
        <v>61</v>
      </c>
      <c r="H65" s="9">
        <v>9</v>
      </c>
      <c r="I65" s="9">
        <v>15</v>
      </c>
      <c r="J65" s="9">
        <v>25</v>
      </c>
      <c r="K65" s="10">
        <v>12</v>
      </c>
    </row>
    <row r="66" spans="1:11" x14ac:dyDescent="0.25">
      <c r="A66" s="8">
        <v>62</v>
      </c>
      <c r="B66" s="9">
        <v>9</v>
      </c>
      <c r="C66" s="9">
        <v>16</v>
      </c>
      <c r="D66" s="9">
        <v>25</v>
      </c>
      <c r="E66" s="10">
        <v>12</v>
      </c>
      <c r="G66" s="8">
        <v>62</v>
      </c>
      <c r="H66" s="9">
        <v>9</v>
      </c>
      <c r="I66" s="9">
        <v>16</v>
      </c>
      <c r="J66" s="9">
        <v>25</v>
      </c>
      <c r="K66" s="10">
        <v>12</v>
      </c>
    </row>
    <row r="67" spans="1:11" x14ac:dyDescent="0.25">
      <c r="A67" s="8">
        <v>63</v>
      </c>
      <c r="B67" s="9">
        <v>9</v>
      </c>
      <c r="C67" s="9">
        <v>16</v>
      </c>
      <c r="D67" s="9">
        <v>25</v>
      </c>
      <c r="E67" s="10">
        <v>13</v>
      </c>
      <c r="G67" s="8">
        <v>63</v>
      </c>
      <c r="H67" s="9">
        <v>9</v>
      </c>
      <c r="I67" s="9">
        <v>16</v>
      </c>
      <c r="J67" s="9">
        <v>25</v>
      </c>
      <c r="K67" s="10">
        <v>13</v>
      </c>
    </row>
    <row r="68" spans="1:11" x14ac:dyDescent="0.25">
      <c r="A68" s="8">
        <v>64</v>
      </c>
      <c r="B68" s="9">
        <v>10</v>
      </c>
      <c r="C68" s="9">
        <v>16</v>
      </c>
      <c r="D68" s="9">
        <v>25</v>
      </c>
      <c r="E68" s="10">
        <v>13</v>
      </c>
      <c r="G68" s="8">
        <v>64</v>
      </c>
      <c r="H68" s="9">
        <v>10</v>
      </c>
      <c r="I68" s="9">
        <v>16</v>
      </c>
      <c r="J68" s="9">
        <v>25</v>
      </c>
      <c r="K68" s="10">
        <v>13</v>
      </c>
    </row>
    <row r="69" spans="1:11" x14ac:dyDescent="0.25">
      <c r="A69" s="8">
        <v>65</v>
      </c>
      <c r="B69" s="9">
        <v>10</v>
      </c>
      <c r="C69" s="9">
        <v>16</v>
      </c>
      <c r="D69" s="9">
        <v>26</v>
      </c>
      <c r="E69" s="10">
        <v>13</v>
      </c>
      <c r="G69" s="8">
        <v>65</v>
      </c>
      <c r="H69" s="9">
        <v>10</v>
      </c>
      <c r="I69" s="9">
        <v>16</v>
      </c>
      <c r="J69" s="9">
        <v>26</v>
      </c>
      <c r="K69" s="10">
        <v>13</v>
      </c>
    </row>
    <row r="70" spans="1:11" x14ac:dyDescent="0.25">
      <c r="A70" s="8">
        <v>66</v>
      </c>
      <c r="B70" s="9">
        <v>10</v>
      </c>
      <c r="C70" s="9">
        <v>17</v>
      </c>
      <c r="D70" s="9">
        <v>26</v>
      </c>
      <c r="E70" s="10">
        <v>13</v>
      </c>
      <c r="G70" s="8">
        <v>66</v>
      </c>
      <c r="H70" s="9">
        <v>10</v>
      </c>
      <c r="I70" s="9">
        <v>17</v>
      </c>
      <c r="J70" s="9">
        <v>26</v>
      </c>
      <c r="K70" s="10">
        <v>13</v>
      </c>
    </row>
    <row r="71" spans="1:11" x14ac:dyDescent="0.25">
      <c r="A71" s="8">
        <v>67</v>
      </c>
      <c r="B71" s="9">
        <v>10</v>
      </c>
      <c r="C71" s="9">
        <v>17</v>
      </c>
      <c r="D71" s="9">
        <v>27</v>
      </c>
      <c r="E71" s="10">
        <v>13</v>
      </c>
      <c r="G71" s="8">
        <v>67</v>
      </c>
      <c r="H71" s="9">
        <v>10</v>
      </c>
      <c r="I71" s="9">
        <v>17</v>
      </c>
      <c r="J71" s="9">
        <v>27</v>
      </c>
      <c r="K71" s="10">
        <v>13</v>
      </c>
    </row>
    <row r="72" spans="1:11" x14ac:dyDescent="0.25">
      <c r="A72" s="8">
        <v>68</v>
      </c>
      <c r="B72" s="9">
        <v>10</v>
      </c>
      <c r="C72" s="9">
        <v>17</v>
      </c>
      <c r="D72" s="9">
        <v>27</v>
      </c>
      <c r="E72" s="10">
        <v>14</v>
      </c>
      <c r="G72" s="8">
        <v>68</v>
      </c>
      <c r="H72" s="9">
        <v>10</v>
      </c>
      <c r="I72" s="9">
        <v>17</v>
      </c>
      <c r="J72" s="9">
        <v>27</v>
      </c>
      <c r="K72" s="10">
        <v>14</v>
      </c>
    </row>
    <row r="73" spans="1:11" x14ac:dyDescent="0.25">
      <c r="A73" s="8">
        <v>69</v>
      </c>
      <c r="B73" s="9">
        <v>10</v>
      </c>
      <c r="C73" s="9">
        <v>17</v>
      </c>
      <c r="D73" s="9">
        <v>28</v>
      </c>
      <c r="E73" s="10">
        <v>14</v>
      </c>
      <c r="G73" s="8">
        <v>69</v>
      </c>
      <c r="H73" s="9">
        <v>10</v>
      </c>
      <c r="I73" s="9">
        <v>17</v>
      </c>
      <c r="J73" s="9">
        <v>28</v>
      </c>
      <c r="K73" s="10">
        <v>14</v>
      </c>
    </row>
    <row r="74" spans="1:11" x14ac:dyDescent="0.25">
      <c r="A74" s="8">
        <v>70</v>
      </c>
      <c r="B74" s="9">
        <v>11</v>
      </c>
      <c r="C74" s="9">
        <v>17</v>
      </c>
      <c r="D74" s="9">
        <v>28</v>
      </c>
      <c r="E74" s="10">
        <v>14</v>
      </c>
      <c r="G74" s="8">
        <v>70</v>
      </c>
      <c r="H74" s="9">
        <v>11</v>
      </c>
      <c r="I74" s="9">
        <v>17</v>
      </c>
      <c r="J74" s="9">
        <v>28</v>
      </c>
      <c r="K74" s="10">
        <v>14</v>
      </c>
    </row>
    <row r="75" spans="1:11" x14ac:dyDescent="0.25">
      <c r="A75" s="8">
        <v>71</v>
      </c>
      <c r="B75" s="9">
        <v>11</v>
      </c>
      <c r="C75" s="9">
        <v>18</v>
      </c>
      <c r="D75" s="9">
        <v>28</v>
      </c>
      <c r="E75" s="10">
        <v>14</v>
      </c>
      <c r="G75" s="8">
        <v>71</v>
      </c>
      <c r="H75" s="9">
        <v>11</v>
      </c>
      <c r="I75" s="9">
        <v>18</v>
      </c>
      <c r="J75" s="9">
        <v>28</v>
      </c>
      <c r="K75" s="10">
        <v>14</v>
      </c>
    </row>
    <row r="76" spans="1:11" x14ac:dyDescent="0.25">
      <c r="A76" s="8">
        <v>72</v>
      </c>
      <c r="B76" s="9">
        <v>11</v>
      </c>
      <c r="C76" s="9">
        <v>18</v>
      </c>
      <c r="D76" s="9">
        <v>29</v>
      </c>
      <c r="E76" s="10">
        <v>14</v>
      </c>
      <c r="G76" s="8">
        <v>72</v>
      </c>
      <c r="H76" s="9">
        <v>11</v>
      </c>
      <c r="I76" s="9">
        <v>18</v>
      </c>
      <c r="J76" s="9">
        <v>29</v>
      </c>
      <c r="K76" s="10">
        <v>14</v>
      </c>
    </row>
    <row r="77" spans="1:11" x14ac:dyDescent="0.25">
      <c r="A77" s="8">
        <v>73</v>
      </c>
      <c r="B77" s="9">
        <v>11</v>
      </c>
      <c r="C77" s="9">
        <v>18</v>
      </c>
      <c r="D77" s="9">
        <v>29</v>
      </c>
      <c r="E77" s="10">
        <v>15</v>
      </c>
      <c r="G77" s="8">
        <v>73</v>
      </c>
      <c r="H77" s="9">
        <v>11</v>
      </c>
      <c r="I77" s="9">
        <v>18</v>
      </c>
      <c r="J77" s="9">
        <v>29</v>
      </c>
      <c r="K77" s="10">
        <v>15</v>
      </c>
    </row>
    <row r="78" spans="1:11" x14ac:dyDescent="0.25">
      <c r="A78" s="8">
        <v>74</v>
      </c>
      <c r="B78" s="9">
        <v>11</v>
      </c>
      <c r="C78" s="9">
        <v>19</v>
      </c>
      <c r="D78" s="9">
        <v>29</v>
      </c>
      <c r="E78" s="10">
        <v>15</v>
      </c>
      <c r="G78" s="8">
        <v>74</v>
      </c>
      <c r="H78" s="9">
        <v>11</v>
      </c>
      <c r="I78" s="9">
        <v>19</v>
      </c>
      <c r="J78" s="9">
        <v>29</v>
      </c>
      <c r="K78" s="10">
        <v>15</v>
      </c>
    </row>
    <row r="79" spans="1:11" x14ac:dyDescent="0.25">
      <c r="A79" s="8">
        <v>75</v>
      </c>
      <c r="B79" s="9">
        <v>11</v>
      </c>
      <c r="C79" s="9">
        <v>19</v>
      </c>
      <c r="D79" s="9">
        <v>30</v>
      </c>
      <c r="E79" s="10">
        <v>15</v>
      </c>
      <c r="G79" s="8">
        <v>75</v>
      </c>
      <c r="H79" s="9">
        <v>11</v>
      </c>
      <c r="I79" s="9">
        <v>19</v>
      </c>
      <c r="J79" s="9">
        <v>30</v>
      </c>
      <c r="K79" s="10">
        <v>15</v>
      </c>
    </row>
    <row r="80" spans="1:11" x14ac:dyDescent="0.25">
      <c r="A80" s="8">
        <v>76</v>
      </c>
      <c r="B80" s="9">
        <v>11</v>
      </c>
      <c r="C80" s="9">
        <v>19</v>
      </c>
      <c r="D80" s="9">
        <v>31</v>
      </c>
      <c r="E80" s="10">
        <v>15</v>
      </c>
      <c r="G80" s="8">
        <v>76</v>
      </c>
      <c r="H80" s="9">
        <v>11</v>
      </c>
      <c r="I80" s="9">
        <v>19</v>
      </c>
      <c r="J80" s="9">
        <v>31</v>
      </c>
      <c r="K80" s="10">
        <v>15</v>
      </c>
    </row>
    <row r="81" spans="1:11" x14ac:dyDescent="0.25">
      <c r="A81" s="8">
        <v>77</v>
      </c>
      <c r="B81" s="9">
        <v>12</v>
      </c>
      <c r="C81" s="9">
        <v>19</v>
      </c>
      <c r="D81" s="9">
        <v>31</v>
      </c>
      <c r="E81" s="10">
        <v>15</v>
      </c>
      <c r="G81" s="8">
        <v>77</v>
      </c>
      <c r="H81" s="9">
        <v>12</v>
      </c>
      <c r="I81" s="9">
        <v>19</v>
      </c>
      <c r="J81" s="9">
        <v>31</v>
      </c>
      <c r="K81" s="10">
        <v>15</v>
      </c>
    </row>
    <row r="82" spans="1:11" x14ac:dyDescent="0.25">
      <c r="A82" s="8">
        <v>78</v>
      </c>
      <c r="B82" s="9">
        <v>12</v>
      </c>
      <c r="C82" s="9">
        <v>20</v>
      </c>
      <c r="D82" s="9">
        <v>31</v>
      </c>
      <c r="E82" s="10">
        <v>15</v>
      </c>
      <c r="G82" s="8">
        <v>78</v>
      </c>
      <c r="H82" s="9">
        <v>12</v>
      </c>
      <c r="I82" s="9">
        <v>20</v>
      </c>
      <c r="J82" s="9">
        <v>31</v>
      </c>
      <c r="K82" s="10">
        <v>15</v>
      </c>
    </row>
    <row r="83" spans="1:11" x14ac:dyDescent="0.25">
      <c r="A83" s="8">
        <v>79</v>
      </c>
      <c r="B83" s="9">
        <v>12</v>
      </c>
      <c r="C83" s="9">
        <v>20</v>
      </c>
      <c r="D83" s="9">
        <v>32</v>
      </c>
      <c r="E83" s="10">
        <v>15</v>
      </c>
      <c r="G83" s="8">
        <v>79</v>
      </c>
      <c r="H83" s="9">
        <v>12</v>
      </c>
      <c r="I83" s="9">
        <v>20</v>
      </c>
      <c r="J83" s="9">
        <v>32</v>
      </c>
      <c r="K83" s="10">
        <v>15</v>
      </c>
    </row>
    <row r="84" spans="1:11" x14ac:dyDescent="0.25">
      <c r="A84" s="8">
        <v>80</v>
      </c>
      <c r="B84" s="9">
        <v>12</v>
      </c>
      <c r="C84" s="9">
        <v>20</v>
      </c>
      <c r="D84" s="9">
        <v>32</v>
      </c>
      <c r="E84" s="10">
        <v>16</v>
      </c>
      <c r="G84" s="8">
        <v>80</v>
      </c>
      <c r="H84" s="9">
        <v>12</v>
      </c>
      <c r="I84" s="9">
        <v>20</v>
      </c>
      <c r="J84" s="9">
        <v>32</v>
      </c>
      <c r="K84" s="10">
        <v>16</v>
      </c>
    </row>
    <row r="85" spans="1:11" x14ac:dyDescent="0.25">
      <c r="A85" s="8">
        <v>81</v>
      </c>
      <c r="B85" s="9">
        <v>12</v>
      </c>
      <c r="C85" s="9">
        <v>20</v>
      </c>
      <c r="D85" s="9">
        <v>33</v>
      </c>
      <c r="E85" s="10">
        <v>16</v>
      </c>
      <c r="G85" s="8">
        <v>81</v>
      </c>
      <c r="H85" s="9">
        <v>12</v>
      </c>
      <c r="I85" s="9">
        <v>20</v>
      </c>
      <c r="J85" s="9">
        <v>33</v>
      </c>
      <c r="K85" s="10">
        <v>16</v>
      </c>
    </row>
    <row r="86" spans="1:11" x14ac:dyDescent="0.25">
      <c r="A86" s="8">
        <v>82</v>
      </c>
      <c r="B86" s="9">
        <v>12</v>
      </c>
      <c r="C86" s="9">
        <v>21</v>
      </c>
      <c r="D86" s="9">
        <v>33</v>
      </c>
      <c r="E86" s="10">
        <v>16</v>
      </c>
      <c r="G86" s="8">
        <v>82</v>
      </c>
      <c r="H86" s="9">
        <v>12</v>
      </c>
      <c r="I86" s="9">
        <v>21</v>
      </c>
      <c r="J86" s="9">
        <v>33</v>
      </c>
      <c r="K86" s="10">
        <v>16</v>
      </c>
    </row>
    <row r="87" spans="1:11" x14ac:dyDescent="0.25">
      <c r="A87" s="8">
        <v>83</v>
      </c>
      <c r="B87" s="9">
        <v>12</v>
      </c>
      <c r="C87" s="9">
        <v>21</v>
      </c>
      <c r="D87" s="9">
        <v>33</v>
      </c>
      <c r="E87" s="10">
        <v>17</v>
      </c>
      <c r="G87" s="8">
        <v>83</v>
      </c>
      <c r="H87" s="9">
        <v>12</v>
      </c>
      <c r="I87" s="9">
        <v>21</v>
      </c>
      <c r="J87" s="9">
        <v>33</v>
      </c>
      <c r="K87" s="10">
        <v>17</v>
      </c>
    </row>
    <row r="88" spans="1:11" x14ac:dyDescent="0.25">
      <c r="A88" s="8">
        <v>84</v>
      </c>
      <c r="B88" s="9">
        <v>13</v>
      </c>
      <c r="C88" s="9">
        <v>21</v>
      </c>
      <c r="D88" s="9">
        <v>33</v>
      </c>
      <c r="E88" s="10">
        <v>17</v>
      </c>
      <c r="G88" s="8">
        <v>84</v>
      </c>
      <c r="H88" s="9">
        <v>13</v>
      </c>
      <c r="I88" s="9">
        <v>21</v>
      </c>
      <c r="J88" s="9">
        <v>33</v>
      </c>
      <c r="K88" s="10">
        <v>17</v>
      </c>
    </row>
    <row r="89" spans="1:11" x14ac:dyDescent="0.25">
      <c r="A89" s="8">
        <v>85</v>
      </c>
      <c r="B89" s="9">
        <v>13</v>
      </c>
      <c r="C89" s="9">
        <v>21</v>
      </c>
      <c r="D89" s="9">
        <v>34</v>
      </c>
      <c r="E89" s="10">
        <v>17</v>
      </c>
      <c r="G89" s="8">
        <v>85</v>
      </c>
      <c r="H89" s="9">
        <v>13</v>
      </c>
      <c r="I89" s="9">
        <v>21</v>
      </c>
      <c r="J89" s="9">
        <v>34</v>
      </c>
      <c r="K89" s="10">
        <v>17</v>
      </c>
    </row>
    <row r="90" spans="1:11" x14ac:dyDescent="0.25">
      <c r="A90" s="8">
        <v>86</v>
      </c>
      <c r="B90" s="9">
        <v>13</v>
      </c>
      <c r="C90" s="9">
        <v>22</v>
      </c>
      <c r="D90" s="9">
        <v>34</v>
      </c>
      <c r="E90" s="10">
        <v>17</v>
      </c>
      <c r="G90" s="8">
        <v>86</v>
      </c>
      <c r="H90" s="9">
        <v>13</v>
      </c>
      <c r="I90" s="9">
        <v>22</v>
      </c>
      <c r="J90" s="9">
        <v>34</v>
      </c>
      <c r="K90" s="10">
        <v>17</v>
      </c>
    </row>
    <row r="91" spans="1:11" x14ac:dyDescent="0.25">
      <c r="A91" s="8">
        <v>87</v>
      </c>
      <c r="B91" s="9">
        <v>13</v>
      </c>
      <c r="C91" s="9">
        <v>22</v>
      </c>
      <c r="D91" s="9">
        <v>35</v>
      </c>
      <c r="E91" s="10">
        <v>17</v>
      </c>
      <c r="G91" s="8">
        <v>87</v>
      </c>
      <c r="H91" s="9">
        <v>13</v>
      </c>
      <c r="I91" s="9">
        <v>22</v>
      </c>
      <c r="J91" s="9">
        <v>35</v>
      </c>
      <c r="K91" s="10">
        <v>17</v>
      </c>
    </row>
    <row r="92" spans="1:11" x14ac:dyDescent="0.25">
      <c r="A92" s="8">
        <v>88</v>
      </c>
      <c r="B92" s="9">
        <v>13</v>
      </c>
      <c r="C92" s="9">
        <v>22</v>
      </c>
      <c r="D92" s="9">
        <v>35</v>
      </c>
      <c r="E92" s="10">
        <v>18</v>
      </c>
      <c r="G92" s="8">
        <v>88</v>
      </c>
      <c r="H92" s="9">
        <v>13</v>
      </c>
      <c r="I92" s="9">
        <v>22</v>
      </c>
      <c r="J92" s="9">
        <v>35</v>
      </c>
      <c r="K92" s="10">
        <v>18</v>
      </c>
    </row>
    <row r="93" spans="1:11" x14ac:dyDescent="0.25">
      <c r="A93" s="8">
        <v>89</v>
      </c>
      <c r="B93" s="9">
        <v>13</v>
      </c>
      <c r="C93" s="9">
        <v>22</v>
      </c>
      <c r="D93" s="9">
        <v>36</v>
      </c>
      <c r="E93" s="10">
        <v>18</v>
      </c>
      <c r="G93" s="8">
        <v>89</v>
      </c>
      <c r="H93" s="9">
        <v>13</v>
      </c>
      <c r="I93" s="9">
        <v>22</v>
      </c>
      <c r="J93" s="9">
        <v>36</v>
      </c>
      <c r="K93" s="10">
        <v>18</v>
      </c>
    </row>
    <row r="94" spans="1:11" x14ac:dyDescent="0.25">
      <c r="A94" s="8">
        <v>90</v>
      </c>
      <c r="B94" s="9">
        <v>14</v>
      </c>
      <c r="C94" s="9">
        <v>22</v>
      </c>
      <c r="D94" s="9">
        <v>36</v>
      </c>
      <c r="E94" s="10">
        <v>18</v>
      </c>
      <c r="G94" s="8">
        <v>90</v>
      </c>
      <c r="H94" s="9">
        <v>14</v>
      </c>
      <c r="I94" s="9">
        <v>22</v>
      </c>
      <c r="J94" s="9">
        <v>36</v>
      </c>
      <c r="K94" s="10">
        <v>18</v>
      </c>
    </row>
    <row r="95" spans="1:11" x14ac:dyDescent="0.25">
      <c r="A95" s="8">
        <v>91</v>
      </c>
      <c r="B95" s="9">
        <v>14</v>
      </c>
      <c r="C95" s="9">
        <v>23</v>
      </c>
      <c r="D95" s="9">
        <v>36</v>
      </c>
      <c r="E95" s="10">
        <v>18</v>
      </c>
      <c r="G95" s="8">
        <v>91</v>
      </c>
      <c r="H95" s="9">
        <v>14</v>
      </c>
      <c r="I95" s="9">
        <v>23</v>
      </c>
      <c r="J95" s="9">
        <v>36</v>
      </c>
      <c r="K95" s="10">
        <v>18</v>
      </c>
    </row>
    <row r="96" spans="1:11" x14ac:dyDescent="0.25">
      <c r="A96" s="8">
        <v>92</v>
      </c>
      <c r="B96" s="9">
        <v>14</v>
      </c>
      <c r="C96" s="9">
        <v>23</v>
      </c>
      <c r="D96" s="9">
        <v>37</v>
      </c>
      <c r="E96" s="10">
        <v>18</v>
      </c>
      <c r="G96" s="8">
        <v>92</v>
      </c>
      <c r="H96" s="9">
        <v>14</v>
      </c>
      <c r="I96" s="9">
        <v>23</v>
      </c>
      <c r="J96" s="9">
        <v>37</v>
      </c>
      <c r="K96" s="10">
        <v>18</v>
      </c>
    </row>
    <row r="97" spans="1:11" x14ac:dyDescent="0.25">
      <c r="A97" s="8">
        <v>93</v>
      </c>
      <c r="B97" s="9">
        <v>14</v>
      </c>
      <c r="C97" s="9">
        <v>23</v>
      </c>
      <c r="D97" s="9">
        <v>37</v>
      </c>
      <c r="E97" s="10">
        <v>19</v>
      </c>
      <c r="G97" s="8">
        <v>93</v>
      </c>
      <c r="H97" s="9">
        <v>14</v>
      </c>
      <c r="I97" s="9">
        <v>23</v>
      </c>
      <c r="J97" s="9">
        <v>37</v>
      </c>
      <c r="K97" s="10">
        <v>19</v>
      </c>
    </row>
    <row r="98" spans="1:11" x14ac:dyDescent="0.25">
      <c r="A98" s="8">
        <v>94</v>
      </c>
      <c r="B98" s="9">
        <v>14</v>
      </c>
      <c r="C98" s="9">
        <v>24</v>
      </c>
      <c r="D98" s="9">
        <v>37</v>
      </c>
      <c r="E98" s="10">
        <v>19</v>
      </c>
      <c r="G98" s="8">
        <v>94</v>
      </c>
      <c r="H98" s="9">
        <v>14</v>
      </c>
      <c r="I98" s="9">
        <v>24</v>
      </c>
      <c r="J98" s="9">
        <v>37</v>
      </c>
      <c r="K98" s="10">
        <v>19</v>
      </c>
    </row>
    <row r="99" spans="1:11" x14ac:dyDescent="0.25">
      <c r="A99" s="8">
        <v>95</v>
      </c>
      <c r="B99" s="9">
        <v>14</v>
      </c>
      <c r="C99" s="9">
        <v>24</v>
      </c>
      <c r="D99" s="9">
        <v>38</v>
      </c>
      <c r="E99" s="10">
        <v>19</v>
      </c>
      <c r="G99" s="8">
        <v>95</v>
      </c>
      <c r="H99" s="9">
        <v>14</v>
      </c>
      <c r="I99" s="9">
        <v>24</v>
      </c>
      <c r="J99" s="9">
        <v>38</v>
      </c>
      <c r="K99" s="10">
        <v>19</v>
      </c>
    </row>
    <row r="100" spans="1:11" x14ac:dyDescent="0.25">
      <c r="A100" s="8">
        <v>96</v>
      </c>
      <c r="B100" s="9">
        <v>14</v>
      </c>
      <c r="C100" s="9">
        <v>24</v>
      </c>
      <c r="D100" s="9">
        <v>39</v>
      </c>
      <c r="E100" s="10">
        <v>19</v>
      </c>
      <c r="G100" s="8">
        <v>96</v>
      </c>
      <c r="H100" s="9">
        <v>14</v>
      </c>
      <c r="I100" s="9">
        <v>24</v>
      </c>
      <c r="J100" s="9">
        <v>39</v>
      </c>
      <c r="K100" s="10">
        <v>19</v>
      </c>
    </row>
    <row r="101" spans="1:11" x14ac:dyDescent="0.25">
      <c r="A101" s="8">
        <v>97</v>
      </c>
      <c r="B101" s="9">
        <v>15</v>
      </c>
      <c r="C101" s="9">
        <v>24</v>
      </c>
      <c r="D101" s="9">
        <v>39</v>
      </c>
      <c r="E101" s="10">
        <v>19</v>
      </c>
      <c r="G101" s="8">
        <v>97</v>
      </c>
      <c r="H101" s="9">
        <v>15</v>
      </c>
      <c r="I101" s="9">
        <v>24</v>
      </c>
      <c r="J101" s="9">
        <v>39</v>
      </c>
      <c r="K101" s="10">
        <v>19</v>
      </c>
    </row>
    <row r="102" spans="1:11" x14ac:dyDescent="0.25">
      <c r="A102" s="8">
        <v>98</v>
      </c>
      <c r="B102" s="9">
        <v>15</v>
      </c>
      <c r="C102" s="9">
        <v>25</v>
      </c>
      <c r="D102" s="9">
        <v>39</v>
      </c>
      <c r="E102" s="10">
        <v>19</v>
      </c>
      <c r="G102" s="8">
        <v>98</v>
      </c>
      <c r="H102" s="9">
        <v>15</v>
      </c>
      <c r="I102" s="9">
        <v>25</v>
      </c>
      <c r="J102" s="9">
        <v>39</v>
      </c>
      <c r="K102" s="10">
        <v>19</v>
      </c>
    </row>
    <row r="103" spans="1:11" x14ac:dyDescent="0.25">
      <c r="A103" s="8">
        <v>99</v>
      </c>
      <c r="B103" s="9">
        <v>15</v>
      </c>
      <c r="C103" s="9">
        <v>25</v>
      </c>
      <c r="D103" s="9">
        <v>40</v>
      </c>
      <c r="E103" s="10">
        <v>19</v>
      </c>
      <c r="G103" s="8">
        <v>99</v>
      </c>
      <c r="H103" s="9">
        <v>15</v>
      </c>
      <c r="I103" s="9">
        <v>25</v>
      </c>
      <c r="J103" s="9">
        <v>40</v>
      </c>
      <c r="K103" s="10">
        <v>19</v>
      </c>
    </row>
    <row r="104" spans="1:11" x14ac:dyDescent="0.25">
      <c r="A104" s="8">
        <v>100</v>
      </c>
      <c r="B104" s="9">
        <v>15</v>
      </c>
      <c r="C104" s="9">
        <v>25</v>
      </c>
      <c r="D104" s="9">
        <v>40</v>
      </c>
      <c r="E104" s="10">
        <v>20</v>
      </c>
      <c r="G104" s="8">
        <v>100</v>
      </c>
      <c r="H104" s="9">
        <v>15</v>
      </c>
      <c r="I104" s="9">
        <v>25</v>
      </c>
      <c r="J104" s="9">
        <v>40</v>
      </c>
      <c r="K104" s="10">
        <v>20</v>
      </c>
    </row>
    <row r="105" spans="1:11" x14ac:dyDescent="0.25">
      <c r="A105" s="8">
        <v>101</v>
      </c>
      <c r="B105" s="9">
        <v>15</v>
      </c>
      <c r="C105" s="9">
        <v>25</v>
      </c>
      <c r="D105" s="9">
        <v>41</v>
      </c>
      <c r="E105" s="10">
        <v>20</v>
      </c>
      <c r="G105" s="8">
        <v>101</v>
      </c>
      <c r="H105" s="9">
        <v>15</v>
      </c>
      <c r="I105" s="9">
        <v>25</v>
      </c>
      <c r="J105" s="9">
        <v>41</v>
      </c>
      <c r="K105" s="10">
        <v>20</v>
      </c>
    </row>
    <row r="106" spans="1:11" x14ac:dyDescent="0.25">
      <c r="A106" s="8">
        <v>102</v>
      </c>
      <c r="B106" s="9">
        <v>15</v>
      </c>
      <c r="C106" s="9">
        <v>26</v>
      </c>
      <c r="D106" s="9">
        <v>41</v>
      </c>
      <c r="E106" s="10">
        <v>20</v>
      </c>
      <c r="G106" s="8">
        <v>102</v>
      </c>
      <c r="H106" s="9">
        <v>15</v>
      </c>
      <c r="I106" s="9">
        <v>26</v>
      </c>
      <c r="J106" s="9">
        <v>41</v>
      </c>
      <c r="K106" s="10">
        <v>20</v>
      </c>
    </row>
    <row r="107" spans="1:11" x14ac:dyDescent="0.25">
      <c r="A107" s="8">
        <v>103</v>
      </c>
      <c r="B107" s="9">
        <v>15</v>
      </c>
      <c r="C107" s="9">
        <v>26</v>
      </c>
      <c r="D107" s="9">
        <v>41</v>
      </c>
      <c r="E107" s="10">
        <v>21</v>
      </c>
      <c r="G107" s="8">
        <v>103</v>
      </c>
      <c r="H107" s="9">
        <v>15</v>
      </c>
      <c r="I107" s="9">
        <v>26</v>
      </c>
      <c r="J107" s="9">
        <v>41</v>
      </c>
      <c r="K107" s="10">
        <v>21</v>
      </c>
    </row>
    <row r="108" spans="1:11" x14ac:dyDescent="0.25">
      <c r="A108" s="8">
        <v>104</v>
      </c>
      <c r="B108" s="9">
        <v>16</v>
      </c>
      <c r="C108" s="9">
        <v>26</v>
      </c>
      <c r="D108" s="9">
        <v>41</v>
      </c>
      <c r="E108" s="10">
        <v>21</v>
      </c>
      <c r="G108" s="8">
        <v>104</v>
      </c>
      <c r="H108" s="9">
        <v>16</v>
      </c>
      <c r="I108" s="9">
        <v>26</v>
      </c>
      <c r="J108" s="9">
        <v>41</v>
      </c>
      <c r="K108" s="10">
        <v>21</v>
      </c>
    </row>
    <row r="109" spans="1:11" x14ac:dyDescent="0.25">
      <c r="A109" s="8">
        <v>105</v>
      </c>
      <c r="B109" s="9">
        <v>16</v>
      </c>
      <c r="C109" s="9">
        <v>26</v>
      </c>
      <c r="D109" s="9">
        <v>42</v>
      </c>
      <c r="E109" s="10">
        <v>21</v>
      </c>
      <c r="G109" s="8">
        <v>105</v>
      </c>
      <c r="H109" s="9">
        <v>16</v>
      </c>
      <c r="I109" s="9">
        <v>26</v>
      </c>
      <c r="J109" s="9">
        <v>42</v>
      </c>
      <c r="K109" s="10">
        <v>21</v>
      </c>
    </row>
    <row r="110" spans="1:11" x14ac:dyDescent="0.25">
      <c r="A110" s="8">
        <v>106</v>
      </c>
      <c r="B110" s="9">
        <v>16</v>
      </c>
      <c r="C110" s="9">
        <v>27</v>
      </c>
      <c r="D110" s="9">
        <v>42</v>
      </c>
      <c r="E110" s="10">
        <v>21</v>
      </c>
      <c r="G110" s="8">
        <v>106</v>
      </c>
      <c r="H110" s="9">
        <v>16</v>
      </c>
      <c r="I110" s="9">
        <v>27</v>
      </c>
      <c r="J110" s="9">
        <v>42</v>
      </c>
      <c r="K110" s="10">
        <v>21</v>
      </c>
    </row>
    <row r="111" spans="1:11" x14ac:dyDescent="0.25">
      <c r="A111" s="8">
        <v>107</v>
      </c>
      <c r="B111" s="9">
        <v>16</v>
      </c>
      <c r="C111" s="9">
        <v>27</v>
      </c>
      <c r="D111" s="9">
        <v>43</v>
      </c>
      <c r="E111" s="10">
        <v>21</v>
      </c>
      <c r="G111" s="8">
        <v>107</v>
      </c>
      <c r="H111" s="9">
        <v>16</v>
      </c>
      <c r="I111" s="9">
        <v>27</v>
      </c>
      <c r="J111" s="9">
        <v>43</v>
      </c>
      <c r="K111" s="10">
        <v>21</v>
      </c>
    </row>
    <row r="112" spans="1:11" x14ac:dyDescent="0.25">
      <c r="A112" s="8">
        <v>108</v>
      </c>
      <c r="B112" s="9">
        <v>16</v>
      </c>
      <c r="C112" s="9">
        <v>27</v>
      </c>
      <c r="D112" s="9">
        <v>43</v>
      </c>
      <c r="E112" s="10">
        <v>22</v>
      </c>
      <c r="G112" s="8">
        <v>108</v>
      </c>
      <c r="H112" s="9">
        <v>16</v>
      </c>
      <c r="I112" s="9">
        <v>27</v>
      </c>
      <c r="J112" s="9">
        <v>43</v>
      </c>
      <c r="K112" s="10">
        <v>22</v>
      </c>
    </row>
    <row r="113" spans="1:11" x14ac:dyDescent="0.25">
      <c r="A113" s="8">
        <v>109</v>
      </c>
      <c r="B113" s="9">
        <v>16</v>
      </c>
      <c r="C113" s="9">
        <v>27</v>
      </c>
      <c r="D113" s="9">
        <v>44</v>
      </c>
      <c r="E113" s="10">
        <v>22</v>
      </c>
      <c r="G113" s="8">
        <v>109</v>
      </c>
      <c r="H113" s="9">
        <v>16</v>
      </c>
      <c r="I113" s="9">
        <v>27</v>
      </c>
      <c r="J113" s="9">
        <v>44</v>
      </c>
      <c r="K113" s="10">
        <v>22</v>
      </c>
    </row>
    <row r="114" spans="1:11" x14ac:dyDescent="0.25">
      <c r="A114" s="8">
        <v>110</v>
      </c>
      <c r="B114" s="9">
        <v>17</v>
      </c>
      <c r="C114" s="9">
        <v>27</v>
      </c>
      <c r="D114" s="9">
        <v>44</v>
      </c>
      <c r="E114" s="10">
        <v>22</v>
      </c>
      <c r="G114" s="8">
        <v>110</v>
      </c>
      <c r="H114" s="9">
        <v>17</v>
      </c>
      <c r="I114" s="9">
        <v>27</v>
      </c>
      <c r="J114" s="9">
        <v>44</v>
      </c>
      <c r="K114" s="10">
        <v>22</v>
      </c>
    </row>
    <row r="115" spans="1:11" x14ac:dyDescent="0.25">
      <c r="A115" s="8">
        <v>111</v>
      </c>
      <c r="B115" s="9">
        <v>17</v>
      </c>
      <c r="C115" s="9">
        <v>28</v>
      </c>
      <c r="D115" s="9">
        <v>44</v>
      </c>
      <c r="E115" s="10">
        <v>22</v>
      </c>
      <c r="G115" s="8">
        <v>111</v>
      </c>
      <c r="H115" s="9">
        <v>17</v>
      </c>
      <c r="I115" s="9">
        <v>28</v>
      </c>
      <c r="J115" s="9">
        <v>44</v>
      </c>
      <c r="K115" s="10">
        <v>22</v>
      </c>
    </row>
    <row r="116" spans="1:11" x14ac:dyDescent="0.25">
      <c r="A116" s="8">
        <v>112</v>
      </c>
      <c r="B116" s="9">
        <v>17</v>
      </c>
      <c r="C116" s="9">
        <v>28</v>
      </c>
      <c r="D116" s="9">
        <v>45</v>
      </c>
      <c r="E116" s="10">
        <v>22</v>
      </c>
      <c r="G116" s="8">
        <v>112</v>
      </c>
      <c r="H116" s="9">
        <v>17</v>
      </c>
      <c r="I116" s="9">
        <v>28</v>
      </c>
      <c r="J116" s="9">
        <v>45</v>
      </c>
      <c r="K116" s="10">
        <v>22</v>
      </c>
    </row>
    <row r="117" spans="1:11" x14ac:dyDescent="0.25">
      <c r="A117" s="8">
        <v>113</v>
      </c>
      <c r="B117" s="9">
        <v>17</v>
      </c>
      <c r="C117" s="9">
        <v>28</v>
      </c>
      <c r="D117" s="9">
        <v>45</v>
      </c>
      <c r="E117" s="10">
        <v>23</v>
      </c>
      <c r="G117" s="8">
        <v>113</v>
      </c>
      <c r="H117" s="9">
        <v>17</v>
      </c>
      <c r="I117" s="9">
        <v>28</v>
      </c>
      <c r="J117" s="9">
        <v>45</v>
      </c>
      <c r="K117" s="10">
        <v>23</v>
      </c>
    </row>
    <row r="118" spans="1:11" x14ac:dyDescent="0.25">
      <c r="A118" s="8">
        <v>114</v>
      </c>
      <c r="B118" s="9">
        <v>17</v>
      </c>
      <c r="C118" s="9">
        <v>29</v>
      </c>
      <c r="D118" s="9">
        <v>45</v>
      </c>
      <c r="E118" s="10">
        <v>23</v>
      </c>
      <c r="G118" s="8">
        <v>114</v>
      </c>
      <c r="H118" s="9">
        <v>17</v>
      </c>
      <c r="I118" s="9">
        <v>29</v>
      </c>
      <c r="J118" s="9">
        <v>45</v>
      </c>
      <c r="K118" s="10">
        <v>23</v>
      </c>
    </row>
    <row r="119" spans="1:11" x14ac:dyDescent="0.25">
      <c r="A119" s="8">
        <v>115</v>
      </c>
      <c r="B119" s="9">
        <v>17</v>
      </c>
      <c r="C119" s="9">
        <v>29</v>
      </c>
      <c r="D119" s="9">
        <v>46</v>
      </c>
      <c r="E119" s="10">
        <v>23</v>
      </c>
      <c r="G119" s="8">
        <v>115</v>
      </c>
      <c r="H119" s="9">
        <v>17</v>
      </c>
      <c r="I119" s="9">
        <v>29</v>
      </c>
      <c r="J119" s="9">
        <v>46</v>
      </c>
      <c r="K119" s="10">
        <v>23</v>
      </c>
    </row>
    <row r="120" spans="1:11" x14ac:dyDescent="0.25">
      <c r="A120" s="8">
        <v>116</v>
      </c>
      <c r="B120" s="9">
        <v>17</v>
      </c>
      <c r="C120" s="9">
        <v>29</v>
      </c>
      <c r="D120" s="9">
        <v>47</v>
      </c>
      <c r="E120" s="10">
        <v>23</v>
      </c>
      <c r="G120" s="8">
        <v>116</v>
      </c>
      <c r="H120" s="9">
        <v>17</v>
      </c>
      <c r="I120" s="9">
        <v>29</v>
      </c>
      <c r="J120" s="9">
        <v>47</v>
      </c>
      <c r="K120" s="10">
        <v>23</v>
      </c>
    </row>
    <row r="121" spans="1:11" x14ac:dyDescent="0.25">
      <c r="A121" s="8">
        <v>117</v>
      </c>
      <c r="B121" s="9">
        <v>18</v>
      </c>
      <c r="C121" s="9">
        <v>29</v>
      </c>
      <c r="D121" s="9">
        <v>47</v>
      </c>
      <c r="E121" s="10">
        <v>23</v>
      </c>
      <c r="G121" s="8">
        <v>117</v>
      </c>
      <c r="H121" s="9">
        <v>18</v>
      </c>
      <c r="I121" s="9">
        <v>29</v>
      </c>
      <c r="J121" s="9">
        <v>47</v>
      </c>
      <c r="K121" s="10">
        <v>23</v>
      </c>
    </row>
    <row r="122" spans="1:11" x14ac:dyDescent="0.25">
      <c r="A122" s="8">
        <v>118</v>
      </c>
      <c r="B122" s="9">
        <v>18</v>
      </c>
      <c r="C122" s="9">
        <v>30</v>
      </c>
      <c r="D122" s="9">
        <v>47</v>
      </c>
      <c r="E122" s="10">
        <v>23</v>
      </c>
      <c r="G122" s="8">
        <v>118</v>
      </c>
      <c r="H122" s="9">
        <v>18</v>
      </c>
      <c r="I122" s="9">
        <v>30</v>
      </c>
      <c r="J122" s="9">
        <v>47</v>
      </c>
      <c r="K122" s="10">
        <v>23</v>
      </c>
    </row>
    <row r="123" spans="1:11" x14ac:dyDescent="0.25">
      <c r="A123" s="8">
        <v>119</v>
      </c>
      <c r="B123" s="9">
        <v>18</v>
      </c>
      <c r="C123" s="9">
        <v>30</v>
      </c>
      <c r="D123" s="9">
        <v>48</v>
      </c>
      <c r="E123" s="10">
        <v>23</v>
      </c>
      <c r="G123" s="8">
        <v>119</v>
      </c>
      <c r="H123" s="9">
        <v>18</v>
      </c>
      <c r="I123" s="9">
        <v>30</v>
      </c>
      <c r="J123" s="9">
        <v>48</v>
      </c>
      <c r="K123" s="10">
        <v>23</v>
      </c>
    </row>
    <row r="124" spans="1:11" x14ac:dyDescent="0.25">
      <c r="A124" s="8">
        <v>120</v>
      </c>
      <c r="B124" s="9">
        <v>18</v>
      </c>
      <c r="C124" s="9">
        <v>30</v>
      </c>
      <c r="D124" s="9">
        <v>48</v>
      </c>
      <c r="E124" s="10">
        <v>24</v>
      </c>
      <c r="G124" s="8">
        <v>120</v>
      </c>
      <c r="H124" s="9">
        <v>18</v>
      </c>
      <c r="I124" s="9">
        <v>30</v>
      </c>
      <c r="J124" s="9">
        <v>48</v>
      </c>
      <c r="K124" s="10">
        <v>24</v>
      </c>
    </row>
    <row r="125" spans="1:11" x14ac:dyDescent="0.25">
      <c r="A125" s="8">
        <v>121</v>
      </c>
      <c r="B125" s="9">
        <v>18</v>
      </c>
      <c r="C125" s="9">
        <v>30</v>
      </c>
      <c r="D125" s="9">
        <v>49</v>
      </c>
      <c r="E125" s="10">
        <v>24</v>
      </c>
      <c r="G125" s="8">
        <v>121</v>
      </c>
      <c r="H125" s="9">
        <v>18</v>
      </c>
      <c r="I125" s="9">
        <v>30</v>
      </c>
      <c r="J125" s="9">
        <v>49</v>
      </c>
      <c r="K125" s="10">
        <v>24</v>
      </c>
    </row>
    <row r="126" spans="1:11" x14ac:dyDescent="0.25">
      <c r="A126" s="8">
        <v>122</v>
      </c>
      <c r="B126" s="9">
        <v>18</v>
      </c>
      <c r="C126" s="9">
        <v>31</v>
      </c>
      <c r="D126" s="9">
        <v>49</v>
      </c>
      <c r="E126" s="10">
        <v>24</v>
      </c>
      <c r="G126" s="8">
        <v>122</v>
      </c>
      <c r="H126" s="9">
        <v>18</v>
      </c>
      <c r="I126" s="9">
        <v>31</v>
      </c>
      <c r="J126" s="9">
        <v>49</v>
      </c>
      <c r="K126" s="10">
        <v>24</v>
      </c>
    </row>
    <row r="127" spans="1:11" x14ac:dyDescent="0.25">
      <c r="A127" s="8">
        <v>123</v>
      </c>
      <c r="B127" s="9">
        <v>18</v>
      </c>
      <c r="C127" s="9">
        <v>31</v>
      </c>
      <c r="D127" s="9">
        <v>49</v>
      </c>
      <c r="E127" s="10">
        <v>25</v>
      </c>
      <c r="G127" s="8">
        <v>123</v>
      </c>
      <c r="H127" s="9">
        <v>18</v>
      </c>
      <c r="I127" s="9">
        <v>31</v>
      </c>
      <c r="J127" s="9">
        <v>49</v>
      </c>
      <c r="K127" s="10">
        <v>25</v>
      </c>
    </row>
    <row r="128" spans="1:11" x14ac:dyDescent="0.25">
      <c r="A128" s="8">
        <v>124</v>
      </c>
      <c r="B128" s="9">
        <v>19</v>
      </c>
      <c r="C128" s="9">
        <v>31</v>
      </c>
      <c r="D128" s="9">
        <v>49</v>
      </c>
      <c r="E128" s="10">
        <v>25</v>
      </c>
      <c r="G128" s="8">
        <v>124</v>
      </c>
      <c r="H128" s="9">
        <v>19</v>
      </c>
      <c r="I128" s="9">
        <v>31</v>
      </c>
      <c r="J128" s="9">
        <v>49</v>
      </c>
      <c r="K128" s="10">
        <v>25</v>
      </c>
    </row>
    <row r="129" spans="1:11" x14ac:dyDescent="0.25">
      <c r="A129" s="8">
        <v>125</v>
      </c>
      <c r="B129" s="9">
        <v>19</v>
      </c>
      <c r="C129" s="9">
        <v>31</v>
      </c>
      <c r="D129" s="9">
        <v>50</v>
      </c>
      <c r="E129" s="10">
        <v>25</v>
      </c>
      <c r="G129" s="8">
        <v>125</v>
      </c>
      <c r="H129" s="9">
        <v>19</v>
      </c>
      <c r="I129" s="9">
        <v>31</v>
      </c>
      <c r="J129" s="9">
        <v>50</v>
      </c>
      <c r="K129" s="10">
        <v>25</v>
      </c>
    </row>
    <row r="130" spans="1:11" x14ac:dyDescent="0.25">
      <c r="A130" s="8">
        <v>126</v>
      </c>
      <c r="B130" s="9">
        <v>19</v>
      </c>
      <c r="C130" s="9">
        <v>32</v>
      </c>
      <c r="D130" s="9">
        <v>50</v>
      </c>
      <c r="E130" s="10">
        <v>25</v>
      </c>
      <c r="G130" s="8">
        <v>126</v>
      </c>
      <c r="H130" s="9">
        <v>19</v>
      </c>
      <c r="I130" s="9">
        <v>32</v>
      </c>
      <c r="J130" s="9">
        <v>50</v>
      </c>
      <c r="K130" s="10">
        <v>25</v>
      </c>
    </row>
    <row r="131" spans="1:11" x14ac:dyDescent="0.25">
      <c r="A131" s="8">
        <v>127</v>
      </c>
      <c r="B131" s="9">
        <v>19</v>
      </c>
      <c r="C131" s="9">
        <v>32</v>
      </c>
      <c r="D131" s="9">
        <v>51</v>
      </c>
      <c r="E131" s="10">
        <v>25</v>
      </c>
      <c r="G131" s="8">
        <v>127</v>
      </c>
      <c r="H131" s="9">
        <v>19</v>
      </c>
      <c r="I131" s="9">
        <v>32</v>
      </c>
      <c r="J131" s="9">
        <v>51</v>
      </c>
      <c r="K131" s="10">
        <v>25</v>
      </c>
    </row>
    <row r="132" spans="1:11" x14ac:dyDescent="0.25">
      <c r="A132" s="8">
        <v>128</v>
      </c>
      <c r="B132" s="9">
        <v>19</v>
      </c>
      <c r="C132" s="9">
        <v>32</v>
      </c>
      <c r="D132" s="9">
        <v>51</v>
      </c>
      <c r="E132" s="10">
        <v>26</v>
      </c>
      <c r="G132" s="8">
        <v>128</v>
      </c>
      <c r="H132" s="9">
        <v>19</v>
      </c>
      <c r="I132" s="9">
        <v>32</v>
      </c>
      <c r="J132" s="9">
        <v>51</v>
      </c>
      <c r="K132" s="10">
        <v>26</v>
      </c>
    </row>
    <row r="133" spans="1:11" x14ac:dyDescent="0.25">
      <c r="A133" s="8">
        <v>129</v>
      </c>
      <c r="B133" s="9">
        <v>19</v>
      </c>
      <c r="C133" s="9">
        <v>32</v>
      </c>
      <c r="D133" s="9">
        <v>52</v>
      </c>
      <c r="E133" s="10">
        <v>26</v>
      </c>
      <c r="G133" s="8">
        <v>129</v>
      </c>
      <c r="H133" s="9">
        <v>19</v>
      </c>
      <c r="I133" s="9">
        <v>32</v>
      </c>
      <c r="J133" s="9">
        <v>52</v>
      </c>
      <c r="K133" s="10">
        <v>26</v>
      </c>
    </row>
    <row r="134" spans="1:11" x14ac:dyDescent="0.25">
      <c r="A134" s="8">
        <v>130</v>
      </c>
      <c r="B134" s="9">
        <v>20</v>
      </c>
      <c r="C134" s="9">
        <v>32</v>
      </c>
      <c r="D134" s="9">
        <v>52</v>
      </c>
      <c r="E134" s="10">
        <v>26</v>
      </c>
      <c r="G134" s="8">
        <v>130</v>
      </c>
      <c r="H134" s="9">
        <v>20</v>
      </c>
      <c r="I134" s="9">
        <v>32</v>
      </c>
      <c r="J134" s="9">
        <v>52</v>
      </c>
      <c r="K134" s="10">
        <v>26</v>
      </c>
    </row>
    <row r="135" spans="1:11" x14ac:dyDescent="0.25">
      <c r="A135" s="8">
        <v>131</v>
      </c>
      <c r="B135" s="9">
        <v>20</v>
      </c>
      <c r="C135" s="9">
        <v>33</v>
      </c>
      <c r="D135" s="9">
        <v>52</v>
      </c>
      <c r="E135" s="10">
        <v>26</v>
      </c>
      <c r="G135" s="8">
        <v>131</v>
      </c>
      <c r="H135" s="9">
        <v>20</v>
      </c>
      <c r="I135" s="9">
        <v>33</v>
      </c>
      <c r="J135" s="9">
        <v>52</v>
      </c>
      <c r="K135" s="10">
        <v>26</v>
      </c>
    </row>
    <row r="136" spans="1:11" x14ac:dyDescent="0.25">
      <c r="A136" s="8">
        <v>132</v>
      </c>
      <c r="B136" s="9">
        <v>20</v>
      </c>
      <c r="C136" s="9">
        <v>33</v>
      </c>
      <c r="D136" s="9">
        <v>53</v>
      </c>
      <c r="E136" s="10">
        <v>26</v>
      </c>
      <c r="G136" s="8">
        <v>132</v>
      </c>
      <c r="H136" s="9">
        <v>20</v>
      </c>
      <c r="I136" s="9">
        <v>33</v>
      </c>
      <c r="J136" s="9">
        <v>53</v>
      </c>
      <c r="K136" s="10">
        <v>26</v>
      </c>
    </row>
    <row r="137" spans="1:11" x14ac:dyDescent="0.25">
      <c r="A137" s="8">
        <v>133</v>
      </c>
      <c r="B137" s="9">
        <v>20</v>
      </c>
      <c r="C137" s="9">
        <v>33</v>
      </c>
      <c r="D137" s="9">
        <v>53</v>
      </c>
      <c r="E137" s="10">
        <v>27</v>
      </c>
      <c r="G137" s="8">
        <v>133</v>
      </c>
      <c r="H137" s="9">
        <v>20</v>
      </c>
      <c r="I137" s="9">
        <v>33</v>
      </c>
      <c r="J137" s="9">
        <v>53</v>
      </c>
      <c r="K137" s="10">
        <v>27</v>
      </c>
    </row>
    <row r="138" spans="1:11" x14ac:dyDescent="0.25">
      <c r="A138" s="8">
        <v>134</v>
      </c>
      <c r="B138" s="9">
        <v>20</v>
      </c>
      <c r="C138" s="9">
        <v>34</v>
      </c>
      <c r="D138" s="9">
        <v>53</v>
      </c>
      <c r="E138" s="10">
        <v>27</v>
      </c>
      <c r="G138" s="8">
        <v>134</v>
      </c>
      <c r="H138" s="9">
        <v>20</v>
      </c>
      <c r="I138" s="9">
        <v>34</v>
      </c>
      <c r="J138" s="9">
        <v>53</v>
      </c>
      <c r="K138" s="10">
        <v>27</v>
      </c>
    </row>
    <row r="139" spans="1:11" x14ac:dyDescent="0.25">
      <c r="A139" s="8">
        <v>135</v>
      </c>
      <c r="B139" s="9">
        <v>20</v>
      </c>
      <c r="C139" s="9">
        <v>34</v>
      </c>
      <c r="D139" s="9">
        <v>54</v>
      </c>
      <c r="E139" s="10">
        <v>27</v>
      </c>
      <c r="G139" s="8">
        <v>135</v>
      </c>
      <c r="H139" s="9">
        <v>20</v>
      </c>
      <c r="I139" s="9">
        <v>34</v>
      </c>
      <c r="J139" s="9">
        <v>54</v>
      </c>
      <c r="K139" s="10">
        <v>27</v>
      </c>
    </row>
    <row r="140" spans="1:11" x14ac:dyDescent="0.25">
      <c r="A140" s="8">
        <v>136</v>
      </c>
      <c r="B140" s="9">
        <v>20</v>
      </c>
      <c r="C140" s="9">
        <v>34</v>
      </c>
      <c r="D140" s="9">
        <v>55</v>
      </c>
      <c r="E140" s="10">
        <v>27</v>
      </c>
      <c r="G140" s="8">
        <v>136</v>
      </c>
      <c r="H140" s="9">
        <v>20</v>
      </c>
      <c r="I140" s="9">
        <v>34</v>
      </c>
      <c r="J140" s="9">
        <v>55</v>
      </c>
      <c r="K140" s="10">
        <v>27</v>
      </c>
    </row>
    <row r="141" spans="1:11" x14ac:dyDescent="0.25">
      <c r="A141" s="8">
        <v>137</v>
      </c>
      <c r="B141" s="9">
        <v>21</v>
      </c>
      <c r="C141" s="9">
        <v>34</v>
      </c>
      <c r="D141" s="9">
        <v>55</v>
      </c>
      <c r="E141" s="10">
        <v>27</v>
      </c>
      <c r="G141" s="8">
        <v>137</v>
      </c>
      <c r="H141" s="9">
        <v>21</v>
      </c>
      <c r="I141" s="9">
        <v>34</v>
      </c>
      <c r="J141" s="9">
        <v>55</v>
      </c>
      <c r="K141" s="10">
        <v>27</v>
      </c>
    </row>
    <row r="142" spans="1:11" x14ac:dyDescent="0.25">
      <c r="A142" s="8">
        <v>138</v>
      </c>
      <c r="B142" s="9">
        <v>21</v>
      </c>
      <c r="C142" s="9">
        <v>35</v>
      </c>
      <c r="D142" s="9">
        <v>55</v>
      </c>
      <c r="E142" s="10">
        <v>27</v>
      </c>
      <c r="G142" s="8">
        <v>138</v>
      </c>
      <c r="H142" s="9">
        <v>21</v>
      </c>
      <c r="I142" s="9">
        <v>35</v>
      </c>
      <c r="J142" s="9">
        <v>55</v>
      </c>
      <c r="K142" s="10">
        <v>27</v>
      </c>
    </row>
    <row r="143" spans="1:11" x14ac:dyDescent="0.25">
      <c r="A143" s="8">
        <v>139</v>
      </c>
      <c r="B143" s="9">
        <v>21</v>
      </c>
      <c r="C143" s="9">
        <v>35</v>
      </c>
      <c r="D143" s="9">
        <v>56</v>
      </c>
      <c r="E143" s="10">
        <v>27</v>
      </c>
      <c r="G143" s="8">
        <v>139</v>
      </c>
      <c r="H143" s="9">
        <v>21</v>
      </c>
      <c r="I143" s="9">
        <v>35</v>
      </c>
      <c r="J143" s="9">
        <v>56</v>
      </c>
      <c r="K143" s="10">
        <v>27</v>
      </c>
    </row>
    <row r="144" spans="1:11" x14ac:dyDescent="0.25">
      <c r="A144" s="8">
        <v>140</v>
      </c>
      <c r="B144" s="9">
        <v>21</v>
      </c>
      <c r="C144" s="9">
        <v>35</v>
      </c>
      <c r="D144" s="9">
        <v>56</v>
      </c>
      <c r="E144" s="10">
        <v>28</v>
      </c>
      <c r="G144" s="8">
        <v>140</v>
      </c>
      <c r="H144" s="9">
        <v>21</v>
      </c>
      <c r="I144" s="9">
        <v>35</v>
      </c>
      <c r="J144" s="9">
        <v>56</v>
      </c>
      <c r="K144" s="10">
        <v>28</v>
      </c>
    </row>
    <row r="145" spans="1:11" x14ac:dyDescent="0.25">
      <c r="A145" s="8">
        <v>141</v>
      </c>
      <c r="B145" s="9">
        <v>21</v>
      </c>
      <c r="C145" s="9">
        <v>35</v>
      </c>
      <c r="D145" s="9">
        <v>57</v>
      </c>
      <c r="E145" s="10">
        <v>28</v>
      </c>
      <c r="G145" s="8">
        <v>141</v>
      </c>
      <c r="H145" s="9">
        <v>21</v>
      </c>
      <c r="I145" s="9">
        <v>35</v>
      </c>
      <c r="J145" s="9">
        <v>57</v>
      </c>
      <c r="K145" s="10">
        <v>28</v>
      </c>
    </row>
    <row r="146" spans="1:11" x14ac:dyDescent="0.25">
      <c r="A146" s="8">
        <v>142</v>
      </c>
      <c r="B146" s="9">
        <v>21</v>
      </c>
      <c r="C146" s="9">
        <v>36</v>
      </c>
      <c r="D146" s="9">
        <v>57</v>
      </c>
      <c r="E146" s="10">
        <v>28</v>
      </c>
      <c r="G146" s="8">
        <v>142</v>
      </c>
      <c r="H146" s="9">
        <v>21</v>
      </c>
      <c r="I146" s="9">
        <v>36</v>
      </c>
      <c r="J146" s="9">
        <v>57</v>
      </c>
      <c r="K146" s="10">
        <v>28</v>
      </c>
    </row>
    <row r="147" spans="1:11" x14ac:dyDescent="0.25">
      <c r="A147" s="8">
        <v>143</v>
      </c>
      <c r="B147" s="9">
        <v>21</v>
      </c>
      <c r="C147" s="9">
        <v>36</v>
      </c>
      <c r="D147" s="9">
        <v>57</v>
      </c>
      <c r="E147" s="10">
        <v>29</v>
      </c>
      <c r="G147" s="8">
        <v>143</v>
      </c>
      <c r="H147" s="9">
        <v>21</v>
      </c>
      <c r="I147" s="9">
        <v>36</v>
      </c>
      <c r="J147" s="9">
        <v>57</v>
      </c>
      <c r="K147" s="10">
        <v>29</v>
      </c>
    </row>
    <row r="148" spans="1:11" x14ac:dyDescent="0.25">
      <c r="A148" s="8">
        <v>144</v>
      </c>
      <c r="B148" s="9">
        <v>22</v>
      </c>
      <c r="C148" s="9">
        <v>36</v>
      </c>
      <c r="D148" s="9">
        <v>57</v>
      </c>
      <c r="E148" s="10">
        <v>29</v>
      </c>
      <c r="G148" s="8">
        <v>144</v>
      </c>
      <c r="H148" s="9">
        <v>22</v>
      </c>
      <c r="I148" s="9">
        <v>36</v>
      </c>
      <c r="J148" s="9">
        <v>57</v>
      </c>
      <c r="K148" s="10">
        <v>29</v>
      </c>
    </row>
    <row r="149" spans="1:11" x14ac:dyDescent="0.25">
      <c r="A149" s="8">
        <v>145</v>
      </c>
      <c r="B149" s="9">
        <v>22</v>
      </c>
      <c r="C149" s="9">
        <v>36</v>
      </c>
      <c r="D149" s="9">
        <v>58</v>
      </c>
      <c r="E149" s="10">
        <v>29</v>
      </c>
      <c r="G149" s="8">
        <v>145</v>
      </c>
      <c r="H149" s="9">
        <v>22</v>
      </c>
      <c r="I149" s="9">
        <v>36</v>
      </c>
      <c r="J149" s="9">
        <v>58</v>
      </c>
      <c r="K149" s="10">
        <v>29</v>
      </c>
    </row>
    <row r="150" spans="1:11" x14ac:dyDescent="0.25">
      <c r="A150" s="8">
        <v>146</v>
      </c>
      <c r="B150" s="9">
        <v>22</v>
      </c>
      <c r="C150" s="9">
        <v>37</v>
      </c>
      <c r="D150" s="9">
        <v>58</v>
      </c>
      <c r="E150" s="10">
        <v>29</v>
      </c>
      <c r="G150" s="8">
        <v>146</v>
      </c>
      <c r="H150" s="9">
        <v>22</v>
      </c>
      <c r="I150" s="9">
        <v>37</v>
      </c>
      <c r="J150" s="9">
        <v>58</v>
      </c>
      <c r="K150" s="10">
        <v>29</v>
      </c>
    </row>
    <row r="151" spans="1:11" x14ac:dyDescent="0.25">
      <c r="A151" s="8">
        <v>147</v>
      </c>
      <c r="B151" s="9">
        <v>22</v>
      </c>
      <c r="C151" s="9">
        <v>37</v>
      </c>
      <c r="D151" s="9">
        <v>59</v>
      </c>
      <c r="E151" s="10">
        <v>29</v>
      </c>
      <c r="G151" s="8">
        <v>147</v>
      </c>
      <c r="H151" s="9">
        <v>22</v>
      </c>
      <c r="I151" s="9">
        <v>37</v>
      </c>
      <c r="J151" s="9">
        <v>59</v>
      </c>
      <c r="K151" s="10">
        <v>29</v>
      </c>
    </row>
    <row r="152" spans="1:11" x14ac:dyDescent="0.25">
      <c r="A152" s="8">
        <v>148</v>
      </c>
      <c r="B152" s="9">
        <v>22</v>
      </c>
      <c r="C152" s="9">
        <v>37</v>
      </c>
      <c r="D152" s="9">
        <v>59</v>
      </c>
      <c r="E152" s="10">
        <v>30</v>
      </c>
      <c r="G152" s="8">
        <v>148</v>
      </c>
      <c r="H152" s="9">
        <v>22</v>
      </c>
      <c r="I152" s="9">
        <v>37</v>
      </c>
      <c r="J152" s="9">
        <v>59</v>
      </c>
      <c r="K152" s="10">
        <v>30</v>
      </c>
    </row>
    <row r="153" spans="1:11" x14ac:dyDescent="0.25">
      <c r="A153" s="8">
        <v>149</v>
      </c>
      <c r="B153" s="9">
        <v>22</v>
      </c>
      <c r="C153" s="9">
        <v>37</v>
      </c>
      <c r="D153" s="9">
        <v>60</v>
      </c>
      <c r="E153" s="10">
        <v>30</v>
      </c>
      <c r="G153" s="8">
        <v>149</v>
      </c>
      <c r="H153" s="9">
        <v>22</v>
      </c>
      <c r="I153" s="9">
        <v>37</v>
      </c>
      <c r="J153" s="9">
        <v>60</v>
      </c>
      <c r="K153" s="10">
        <v>30</v>
      </c>
    </row>
    <row r="154" spans="1:11" x14ac:dyDescent="0.25">
      <c r="A154" s="8">
        <v>150</v>
      </c>
      <c r="B154" s="9">
        <v>23</v>
      </c>
      <c r="C154" s="9">
        <v>37</v>
      </c>
      <c r="D154" s="9">
        <v>60</v>
      </c>
      <c r="E154" s="10">
        <v>30</v>
      </c>
      <c r="G154" s="8">
        <v>150</v>
      </c>
      <c r="H154" s="9">
        <v>23</v>
      </c>
      <c r="I154" s="9">
        <v>37</v>
      </c>
      <c r="J154" s="9">
        <v>60</v>
      </c>
      <c r="K154" s="10">
        <v>30</v>
      </c>
    </row>
    <row r="155" spans="1:11" x14ac:dyDescent="0.25">
      <c r="A155" s="8">
        <v>151</v>
      </c>
      <c r="B155" s="9">
        <v>23</v>
      </c>
      <c r="C155" s="9">
        <v>38</v>
      </c>
      <c r="D155" s="9">
        <v>60</v>
      </c>
      <c r="E155" s="10">
        <v>30</v>
      </c>
      <c r="G155" s="8">
        <v>151</v>
      </c>
      <c r="H155" s="9">
        <v>23</v>
      </c>
      <c r="I155" s="9">
        <v>38</v>
      </c>
      <c r="J155" s="9">
        <v>60</v>
      </c>
      <c r="K155" s="10">
        <v>30</v>
      </c>
    </row>
    <row r="156" spans="1:11" x14ac:dyDescent="0.25">
      <c r="A156" s="8">
        <v>152</v>
      </c>
      <c r="B156" s="9">
        <v>23</v>
      </c>
      <c r="C156" s="9">
        <v>38</v>
      </c>
      <c r="D156" s="9">
        <v>61</v>
      </c>
      <c r="E156" s="10">
        <v>30</v>
      </c>
      <c r="G156" s="8">
        <v>152</v>
      </c>
      <c r="H156" s="9">
        <v>23</v>
      </c>
      <c r="I156" s="9">
        <v>38</v>
      </c>
      <c r="J156" s="9">
        <v>61</v>
      </c>
      <c r="K156" s="10">
        <v>30</v>
      </c>
    </row>
    <row r="157" spans="1:11" x14ac:dyDescent="0.25">
      <c r="A157" s="8">
        <v>153</v>
      </c>
      <c r="B157" s="9">
        <v>23</v>
      </c>
      <c r="C157" s="9">
        <v>38</v>
      </c>
      <c r="D157" s="9">
        <v>61</v>
      </c>
      <c r="E157" s="10">
        <v>31</v>
      </c>
      <c r="G157" s="8">
        <v>153</v>
      </c>
      <c r="H157" s="9">
        <v>23</v>
      </c>
      <c r="I157" s="9">
        <v>38</v>
      </c>
      <c r="J157" s="9">
        <v>61</v>
      </c>
      <c r="K157" s="10">
        <v>31</v>
      </c>
    </row>
    <row r="158" spans="1:11" x14ac:dyDescent="0.25">
      <c r="A158" s="8">
        <v>154</v>
      </c>
      <c r="B158" s="9">
        <v>23</v>
      </c>
      <c r="C158" s="9">
        <v>39</v>
      </c>
      <c r="D158" s="9">
        <v>61</v>
      </c>
      <c r="E158" s="10">
        <v>31</v>
      </c>
      <c r="G158" s="8">
        <v>154</v>
      </c>
      <c r="H158" s="9">
        <v>23</v>
      </c>
      <c r="I158" s="9">
        <v>39</v>
      </c>
      <c r="J158" s="9">
        <v>61</v>
      </c>
      <c r="K158" s="10">
        <v>31</v>
      </c>
    </row>
    <row r="159" spans="1:11" x14ac:dyDescent="0.25">
      <c r="A159" s="8">
        <v>155</v>
      </c>
      <c r="B159" s="9">
        <v>23</v>
      </c>
      <c r="C159" s="9">
        <v>39</v>
      </c>
      <c r="D159" s="9">
        <v>62</v>
      </c>
      <c r="E159" s="10">
        <v>31</v>
      </c>
      <c r="G159" s="8">
        <v>155</v>
      </c>
      <c r="H159" s="9">
        <v>23</v>
      </c>
      <c r="I159" s="9">
        <v>39</v>
      </c>
      <c r="J159" s="9">
        <v>62</v>
      </c>
      <c r="K159" s="10">
        <v>31</v>
      </c>
    </row>
    <row r="160" spans="1:11" x14ac:dyDescent="0.25">
      <c r="A160" s="8">
        <v>156</v>
      </c>
      <c r="B160" s="9">
        <v>23</v>
      </c>
      <c r="C160" s="9">
        <v>39</v>
      </c>
      <c r="D160" s="9">
        <v>63</v>
      </c>
      <c r="E160" s="10">
        <v>31</v>
      </c>
      <c r="G160" s="8">
        <v>156</v>
      </c>
      <c r="H160" s="9">
        <v>23</v>
      </c>
      <c r="I160" s="9">
        <v>39</v>
      </c>
      <c r="J160" s="9">
        <v>63</v>
      </c>
      <c r="K160" s="10">
        <v>31</v>
      </c>
    </row>
    <row r="161" spans="1:11" x14ac:dyDescent="0.25">
      <c r="A161" s="8">
        <v>157</v>
      </c>
      <c r="B161" s="9">
        <v>24</v>
      </c>
      <c r="C161" s="9">
        <v>39</v>
      </c>
      <c r="D161" s="9">
        <v>63</v>
      </c>
      <c r="E161" s="10">
        <v>31</v>
      </c>
      <c r="G161" s="8">
        <v>157</v>
      </c>
      <c r="H161" s="9">
        <v>24</v>
      </c>
      <c r="I161" s="9">
        <v>39</v>
      </c>
      <c r="J161" s="9">
        <v>63</v>
      </c>
      <c r="K161" s="10">
        <v>31</v>
      </c>
    </row>
    <row r="162" spans="1:11" x14ac:dyDescent="0.25">
      <c r="A162" s="8">
        <v>158</v>
      </c>
      <c r="B162" s="9">
        <v>24</v>
      </c>
      <c r="C162" s="9">
        <v>40</v>
      </c>
      <c r="D162" s="9">
        <v>63</v>
      </c>
      <c r="E162" s="10">
        <v>31</v>
      </c>
      <c r="G162" s="8">
        <v>158</v>
      </c>
      <c r="H162" s="9">
        <v>24</v>
      </c>
      <c r="I162" s="9">
        <v>40</v>
      </c>
      <c r="J162" s="9">
        <v>63</v>
      </c>
      <c r="K162" s="10">
        <v>31</v>
      </c>
    </row>
    <row r="163" spans="1:11" x14ac:dyDescent="0.25">
      <c r="A163" s="8">
        <v>159</v>
      </c>
      <c r="B163" s="9">
        <v>24</v>
      </c>
      <c r="C163" s="9">
        <v>40</v>
      </c>
      <c r="D163" s="9">
        <v>64</v>
      </c>
      <c r="E163" s="10">
        <v>31</v>
      </c>
      <c r="G163" s="8">
        <v>159</v>
      </c>
      <c r="H163" s="9">
        <v>24</v>
      </c>
      <c r="I163" s="9">
        <v>40</v>
      </c>
      <c r="J163" s="9">
        <v>64</v>
      </c>
      <c r="K163" s="10">
        <v>31</v>
      </c>
    </row>
    <row r="164" spans="1:11" x14ac:dyDescent="0.25">
      <c r="A164" s="8">
        <v>160</v>
      </c>
      <c r="B164" s="9">
        <v>24</v>
      </c>
      <c r="C164" s="9">
        <v>40</v>
      </c>
      <c r="D164" s="9">
        <v>64</v>
      </c>
      <c r="E164" s="10">
        <v>32</v>
      </c>
      <c r="G164" s="8">
        <v>160</v>
      </c>
      <c r="H164" s="9">
        <v>24</v>
      </c>
      <c r="I164" s="9">
        <v>40</v>
      </c>
      <c r="J164" s="9">
        <v>64</v>
      </c>
      <c r="K164" s="10">
        <v>32</v>
      </c>
    </row>
    <row r="165" spans="1:11" x14ac:dyDescent="0.25">
      <c r="A165" s="8">
        <v>161</v>
      </c>
      <c r="B165" s="9">
        <v>24</v>
      </c>
      <c r="C165" s="9">
        <v>40</v>
      </c>
      <c r="D165" s="9">
        <v>65</v>
      </c>
      <c r="E165" s="10">
        <v>32</v>
      </c>
      <c r="G165" s="8">
        <v>161</v>
      </c>
      <c r="H165" s="9">
        <v>24</v>
      </c>
      <c r="I165" s="9">
        <v>40</v>
      </c>
      <c r="J165" s="9">
        <v>65</v>
      </c>
      <c r="K165" s="10">
        <v>32</v>
      </c>
    </row>
    <row r="166" spans="1:11" x14ac:dyDescent="0.25">
      <c r="A166" s="8">
        <v>162</v>
      </c>
      <c r="B166" s="9">
        <v>24</v>
      </c>
      <c r="C166" s="9">
        <v>41</v>
      </c>
      <c r="D166" s="9">
        <v>65</v>
      </c>
      <c r="E166" s="10">
        <v>32</v>
      </c>
      <c r="G166" s="8">
        <v>162</v>
      </c>
      <c r="H166" s="9">
        <v>24</v>
      </c>
      <c r="I166" s="9">
        <v>41</v>
      </c>
      <c r="J166" s="9">
        <v>65</v>
      </c>
      <c r="K166" s="10">
        <v>32</v>
      </c>
    </row>
    <row r="167" spans="1:11" x14ac:dyDescent="0.25">
      <c r="A167" s="8">
        <v>163</v>
      </c>
      <c r="B167" s="9">
        <v>24</v>
      </c>
      <c r="C167" s="9">
        <v>41</v>
      </c>
      <c r="D167" s="9">
        <v>65</v>
      </c>
      <c r="E167" s="10">
        <v>33</v>
      </c>
      <c r="G167" s="8">
        <v>163</v>
      </c>
      <c r="H167" s="9">
        <v>24</v>
      </c>
      <c r="I167" s="9">
        <v>41</v>
      </c>
      <c r="J167" s="9">
        <v>65</v>
      </c>
      <c r="K167" s="10">
        <v>33</v>
      </c>
    </row>
    <row r="168" spans="1:11" x14ac:dyDescent="0.25">
      <c r="A168" s="8">
        <v>164</v>
      </c>
      <c r="B168" s="9">
        <v>25</v>
      </c>
      <c r="C168" s="9">
        <v>41</v>
      </c>
      <c r="D168" s="9">
        <v>65</v>
      </c>
      <c r="E168" s="10">
        <v>33</v>
      </c>
      <c r="G168" s="8">
        <v>164</v>
      </c>
      <c r="H168" s="9">
        <v>25</v>
      </c>
      <c r="I168" s="9">
        <v>41</v>
      </c>
      <c r="J168" s="9">
        <v>65</v>
      </c>
      <c r="K168" s="10">
        <v>33</v>
      </c>
    </row>
    <row r="169" spans="1:11" x14ac:dyDescent="0.25">
      <c r="A169" s="8">
        <v>165</v>
      </c>
      <c r="B169" s="9">
        <v>25</v>
      </c>
      <c r="C169" s="9">
        <v>41</v>
      </c>
      <c r="D169" s="9">
        <v>66</v>
      </c>
      <c r="E169" s="10">
        <v>33</v>
      </c>
      <c r="G169" s="8">
        <v>165</v>
      </c>
      <c r="H169" s="9">
        <v>25</v>
      </c>
      <c r="I169" s="9">
        <v>41</v>
      </c>
      <c r="J169" s="9">
        <v>66</v>
      </c>
      <c r="K169" s="10">
        <v>33</v>
      </c>
    </row>
    <row r="170" spans="1:11" x14ac:dyDescent="0.25">
      <c r="A170" s="8">
        <v>166</v>
      </c>
      <c r="B170" s="9">
        <v>25</v>
      </c>
      <c r="C170" s="9">
        <v>42</v>
      </c>
      <c r="D170" s="9">
        <v>66</v>
      </c>
      <c r="E170" s="10">
        <v>33</v>
      </c>
      <c r="G170" s="8">
        <v>166</v>
      </c>
      <c r="H170" s="9">
        <v>25</v>
      </c>
      <c r="I170" s="9">
        <v>42</v>
      </c>
      <c r="J170" s="9">
        <v>66</v>
      </c>
      <c r="K170" s="10">
        <v>33</v>
      </c>
    </row>
    <row r="171" spans="1:11" x14ac:dyDescent="0.25">
      <c r="A171" s="8">
        <v>167</v>
      </c>
      <c r="B171" s="9">
        <v>25</v>
      </c>
      <c r="C171" s="9">
        <v>42</v>
      </c>
      <c r="D171" s="9">
        <v>67</v>
      </c>
      <c r="E171" s="10">
        <v>33</v>
      </c>
      <c r="G171" s="8">
        <v>167</v>
      </c>
      <c r="H171" s="9">
        <v>25</v>
      </c>
      <c r="I171" s="9">
        <v>42</v>
      </c>
      <c r="J171" s="9">
        <v>67</v>
      </c>
      <c r="K171" s="10">
        <v>33</v>
      </c>
    </row>
    <row r="172" spans="1:11" x14ac:dyDescent="0.25">
      <c r="A172" s="8">
        <v>168</v>
      </c>
      <c r="B172" s="9">
        <v>25</v>
      </c>
      <c r="C172" s="9">
        <v>42</v>
      </c>
      <c r="D172" s="9">
        <v>67</v>
      </c>
      <c r="E172" s="10">
        <v>34</v>
      </c>
      <c r="G172" s="8">
        <v>168</v>
      </c>
      <c r="H172" s="9">
        <v>25</v>
      </c>
      <c r="I172" s="9">
        <v>42</v>
      </c>
      <c r="J172" s="9">
        <v>67</v>
      </c>
      <c r="K172" s="10">
        <v>34</v>
      </c>
    </row>
    <row r="173" spans="1:11" x14ac:dyDescent="0.25">
      <c r="A173" s="8">
        <v>169</v>
      </c>
      <c r="B173" s="9">
        <v>25</v>
      </c>
      <c r="C173" s="9">
        <v>42</v>
      </c>
      <c r="D173" s="9">
        <v>68</v>
      </c>
      <c r="E173" s="10">
        <v>34</v>
      </c>
      <c r="G173" s="8">
        <v>169</v>
      </c>
      <c r="H173" s="9">
        <v>25</v>
      </c>
      <c r="I173" s="9">
        <v>42</v>
      </c>
      <c r="J173" s="9">
        <v>68</v>
      </c>
      <c r="K173" s="10">
        <v>34</v>
      </c>
    </row>
    <row r="174" spans="1:11" x14ac:dyDescent="0.25">
      <c r="A174" s="8">
        <v>170</v>
      </c>
      <c r="B174" s="9">
        <v>26</v>
      </c>
      <c r="C174" s="9">
        <v>42</v>
      </c>
      <c r="D174" s="9">
        <v>68</v>
      </c>
      <c r="E174" s="10">
        <v>34</v>
      </c>
      <c r="G174" s="8">
        <v>170</v>
      </c>
      <c r="H174" s="9">
        <v>26</v>
      </c>
      <c r="I174" s="9">
        <v>42</v>
      </c>
      <c r="J174" s="9">
        <v>68</v>
      </c>
      <c r="K174" s="10">
        <v>34</v>
      </c>
    </row>
    <row r="175" spans="1:11" x14ac:dyDescent="0.25">
      <c r="A175" s="8">
        <v>171</v>
      </c>
      <c r="B175" s="9">
        <v>26</v>
      </c>
      <c r="C175" s="9">
        <v>43</v>
      </c>
      <c r="D175" s="9">
        <v>68</v>
      </c>
      <c r="E175" s="10">
        <v>34</v>
      </c>
      <c r="G175" s="8">
        <v>171</v>
      </c>
      <c r="H175" s="9">
        <v>26</v>
      </c>
      <c r="I175" s="9">
        <v>43</v>
      </c>
      <c r="J175" s="9">
        <v>68</v>
      </c>
      <c r="K175" s="10">
        <v>34</v>
      </c>
    </row>
    <row r="176" spans="1:11" x14ac:dyDescent="0.25">
      <c r="A176" s="8">
        <v>172</v>
      </c>
      <c r="B176" s="9">
        <v>26</v>
      </c>
      <c r="C176" s="9">
        <v>43</v>
      </c>
      <c r="D176" s="9">
        <v>69</v>
      </c>
      <c r="E176" s="10">
        <v>34</v>
      </c>
      <c r="G176" s="8">
        <v>172</v>
      </c>
      <c r="H176" s="9">
        <v>26</v>
      </c>
      <c r="I176" s="9">
        <v>43</v>
      </c>
      <c r="J176" s="9">
        <v>69</v>
      </c>
      <c r="K176" s="10">
        <v>34</v>
      </c>
    </row>
    <row r="177" spans="1:11" x14ac:dyDescent="0.25">
      <c r="A177" s="8">
        <v>173</v>
      </c>
      <c r="B177" s="9">
        <v>26</v>
      </c>
      <c r="C177" s="9">
        <v>43</v>
      </c>
      <c r="D177" s="9">
        <v>69</v>
      </c>
      <c r="E177" s="10">
        <v>35</v>
      </c>
      <c r="G177" s="8">
        <v>173</v>
      </c>
      <c r="H177" s="9">
        <v>26</v>
      </c>
      <c r="I177" s="9">
        <v>43</v>
      </c>
      <c r="J177" s="9">
        <v>69</v>
      </c>
      <c r="K177" s="10">
        <v>35</v>
      </c>
    </row>
    <row r="178" spans="1:11" x14ac:dyDescent="0.25">
      <c r="A178" s="8">
        <v>174</v>
      </c>
      <c r="B178" s="9">
        <v>26</v>
      </c>
      <c r="C178" s="9">
        <v>44</v>
      </c>
      <c r="D178" s="9">
        <v>69</v>
      </c>
      <c r="E178" s="10">
        <v>35</v>
      </c>
      <c r="G178" s="8">
        <v>174</v>
      </c>
      <c r="H178" s="9">
        <v>26</v>
      </c>
      <c r="I178" s="9">
        <v>44</v>
      </c>
      <c r="J178" s="9">
        <v>69</v>
      </c>
      <c r="K178" s="10">
        <v>35</v>
      </c>
    </row>
    <row r="179" spans="1:11" x14ac:dyDescent="0.25">
      <c r="A179" s="8">
        <v>175</v>
      </c>
      <c r="B179" s="9">
        <v>26</v>
      </c>
      <c r="C179" s="9">
        <v>44</v>
      </c>
      <c r="D179" s="9">
        <v>70</v>
      </c>
      <c r="E179" s="10">
        <v>35</v>
      </c>
      <c r="G179" s="8">
        <v>175</v>
      </c>
      <c r="H179" s="9">
        <v>26</v>
      </c>
      <c r="I179" s="9">
        <v>44</v>
      </c>
      <c r="J179" s="9">
        <v>70</v>
      </c>
      <c r="K179" s="10">
        <v>35</v>
      </c>
    </row>
    <row r="180" spans="1:11" x14ac:dyDescent="0.25">
      <c r="A180" s="8">
        <v>176</v>
      </c>
      <c r="B180" s="9">
        <v>26</v>
      </c>
      <c r="C180" s="9">
        <v>44</v>
      </c>
      <c r="D180" s="9">
        <v>71</v>
      </c>
      <c r="E180" s="10">
        <v>35</v>
      </c>
      <c r="G180" s="8">
        <v>176</v>
      </c>
      <c r="H180" s="9">
        <v>26</v>
      </c>
      <c r="I180" s="9">
        <v>44</v>
      </c>
      <c r="J180" s="9">
        <v>71</v>
      </c>
      <c r="K180" s="10">
        <v>35</v>
      </c>
    </row>
    <row r="181" spans="1:11" x14ac:dyDescent="0.25">
      <c r="A181" s="8">
        <v>177</v>
      </c>
      <c r="B181" s="9">
        <v>27</v>
      </c>
      <c r="C181" s="9">
        <v>44</v>
      </c>
      <c r="D181" s="9">
        <v>71</v>
      </c>
      <c r="E181" s="10">
        <v>35</v>
      </c>
      <c r="G181" s="8">
        <v>177</v>
      </c>
      <c r="H181" s="9">
        <v>27</v>
      </c>
      <c r="I181" s="9">
        <v>44</v>
      </c>
      <c r="J181" s="9">
        <v>71</v>
      </c>
      <c r="K181" s="10">
        <v>35</v>
      </c>
    </row>
    <row r="182" spans="1:11" x14ac:dyDescent="0.25">
      <c r="A182" s="8">
        <v>178</v>
      </c>
      <c r="B182" s="9">
        <v>27</v>
      </c>
      <c r="C182" s="9">
        <v>45</v>
      </c>
      <c r="D182" s="9">
        <v>71</v>
      </c>
      <c r="E182" s="10">
        <v>35</v>
      </c>
      <c r="G182" s="8">
        <v>178</v>
      </c>
      <c r="H182" s="9">
        <v>27</v>
      </c>
      <c r="I182" s="9">
        <v>45</v>
      </c>
      <c r="J182" s="9">
        <v>71</v>
      </c>
      <c r="K182" s="10">
        <v>35</v>
      </c>
    </row>
    <row r="183" spans="1:11" x14ac:dyDescent="0.25">
      <c r="A183" s="8">
        <v>179</v>
      </c>
      <c r="B183" s="9">
        <v>27</v>
      </c>
      <c r="C183" s="9">
        <v>45</v>
      </c>
      <c r="D183" s="9">
        <v>72</v>
      </c>
      <c r="E183" s="10">
        <v>35</v>
      </c>
      <c r="G183" s="8">
        <v>179</v>
      </c>
      <c r="H183" s="9">
        <v>27</v>
      </c>
      <c r="I183" s="9">
        <v>45</v>
      </c>
      <c r="J183" s="9">
        <v>72</v>
      </c>
      <c r="K183" s="10">
        <v>35</v>
      </c>
    </row>
    <row r="184" spans="1:11" x14ac:dyDescent="0.25">
      <c r="A184" s="8">
        <v>180</v>
      </c>
      <c r="B184" s="9">
        <v>27</v>
      </c>
      <c r="C184" s="9">
        <v>45</v>
      </c>
      <c r="D184" s="9">
        <v>72</v>
      </c>
      <c r="E184" s="10">
        <v>36</v>
      </c>
      <c r="G184" s="8">
        <v>180</v>
      </c>
      <c r="H184" s="9">
        <v>27</v>
      </c>
      <c r="I184" s="9">
        <v>45</v>
      </c>
      <c r="J184" s="9">
        <v>72</v>
      </c>
      <c r="K184" s="10">
        <v>36</v>
      </c>
    </row>
    <row r="185" spans="1:11" x14ac:dyDescent="0.25">
      <c r="A185" s="8">
        <v>181</v>
      </c>
      <c r="B185" s="9">
        <v>27</v>
      </c>
      <c r="C185" s="9">
        <v>45</v>
      </c>
      <c r="D185" s="9">
        <v>73</v>
      </c>
      <c r="E185" s="10">
        <v>36</v>
      </c>
      <c r="G185" s="8">
        <v>181</v>
      </c>
      <c r="H185" s="9">
        <v>27</v>
      </c>
      <c r="I185" s="9">
        <v>45</v>
      </c>
      <c r="J185" s="9">
        <v>73</v>
      </c>
      <c r="K185" s="10">
        <v>36</v>
      </c>
    </row>
    <row r="186" spans="1:11" x14ac:dyDescent="0.25">
      <c r="A186" s="8">
        <v>182</v>
      </c>
      <c r="B186" s="9">
        <v>27</v>
      </c>
      <c r="C186" s="9">
        <v>46</v>
      </c>
      <c r="D186" s="9">
        <v>73</v>
      </c>
      <c r="E186" s="10">
        <v>36</v>
      </c>
      <c r="G186" s="8">
        <v>182</v>
      </c>
      <c r="H186" s="9">
        <v>27</v>
      </c>
      <c r="I186" s="9">
        <v>46</v>
      </c>
      <c r="J186" s="9">
        <v>73</v>
      </c>
      <c r="K186" s="10">
        <v>36</v>
      </c>
    </row>
    <row r="187" spans="1:11" x14ac:dyDescent="0.25">
      <c r="A187" s="8">
        <v>183</v>
      </c>
      <c r="B187" s="9">
        <v>27</v>
      </c>
      <c r="C187" s="9">
        <v>46</v>
      </c>
      <c r="D187" s="9">
        <v>73</v>
      </c>
      <c r="E187" s="10">
        <v>37</v>
      </c>
      <c r="G187" s="8">
        <v>183</v>
      </c>
      <c r="H187" s="9">
        <v>27</v>
      </c>
      <c r="I187" s="9">
        <v>46</v>
      </c>
      <c r="J187" s="9">
        <v>73</v>
      </c>
      <c r="K187" s="10">
        <v>37</v>
      </c>
    </row>
    <row r="188" spans="1:11" x14ac:dyDescent="0.25">
      <c r="A188" s="8">
        <v>184</v>
      </c>
      <c r="B188" s="9">
        <v>28</v>
      </c>
      <c r="C188" s="9">
        <v>46</v>
      </c>
      <c r="D188" s="9">
        <v>73</v>
      </c>
      <c r="E188" s="10">
        <v>37</v>
      </c>
      <c r="G188" s="8">
        <v>184</v>
      </c>
      <c r="H188" s="9">
        <v>28</v>
      </c>
      <c r="I188" s="9">
        <v>46</v>
      </c>
      <c r="J188" s="9">
        <v>73</v>
      </c>
      <c r="K188" s="10">
        <v>37</v>
      </c>
    </row>
    <row r="189" spans="1:11" x14ac:dyDescent="0.25">
      <c r="A189" s="8">
        <v>185</v>
      </c>
      <c r="B189" s="9">
        <v>28</v>
      </c>
      <c r="C189" s="9">
        <v>46</v>
      </c>
      <c r="D189" s="9">
        <v>74</v>
      </c>
      <c r="E189" s="10">
        <v>37</v>
      </c>
      <c r="G189" s="8">
        <v>185</v>
      </c>
      <c r="H189" s="9">
        <v>28</v>
      </c>
      <c r="I189" s="9">
        <v>46</v>
      </c>
      <c r="J189" s="9">
        <v>74</v>
      </c>
      <c r="K189" s="10">
        <v>37</v>
      </c>
    </row>
    <row r="190" spans="1:11" x14ac:dyDescent="0.25">
      <c r="A190" s="8">
        <v>186</v>
      </c>
      <c r="B190" s="9">
        <v>28</v>
      </c>
      <c r="C190" s="9">
        <v>47</v>
      </c>
      <c r="D190" s="9">
        <v>74</v>
      </c>
      <c r="E190" s="10">
        <v>37</v>
      </c>
      <c r="G190" s="8">
        <v>186</v>
      </c>
      <c r="H190" s="9">
        <v>28</v>
      </c>
      <c r="I190" s="9">
        <v>47</v>
      </c>
      <c r="J190" s="9">
        <v>74</v>
      </c>
      <c r="K190" s="10">
        <v>37</v>
      </c>
    </row>
    <row r="191" spans="1:11" x14ac:dyDescent="0.25">
      <c r="A191" s="8">
        <v>187</v>
      </c>
      <c r="B191" s="9">
        <v>28</v>
      </c>
      <c r="C191" s="9">
        <v>47</v>
      </c>
      <c r="D191" s="9">
        <v>75</v>
      </c>
      <c r="E191" s="10">
        <v>37</v>
      </c>
      <c r="G191" s="8">
        <v>187</v>
      </c>
      <c r="H191" s="9">
        <v>28</v>
      </c>
      <c r="I191" s="9">
        <v>47</v>
      </c>
      <c r="J191" s="9">
        <v>75</v>
      </c>
      <c r="K191" s="10">
        <v>37</v>
      </c>
    </row>
    <row r="192" spans="1:11" x14ac:dyDescent="0.25">
      <c r="A192" s="8">
        <v>188</v>
      </c>
      <c r="B192" s="9">
        <v>28</v>
      </c>
      <c r="C192" s="9">
        <v>47</v>
      </c>
      <c r="D192" s="9">
        <v>75</v>
      </c>
      <c r="E192" s="10">
        <v>38</v>
      </c>
      <c r="G192" s="8">
        <v>188</v>
      </c>
      <c r="H192" s="9">
        <v>28</v>
      </c>
      <c r="I192" s="9">
        <v>47</v>
      </c>
      <c r="J192" s="9">
        <v>75</v>
      </c>
      <c r="K192" s="10">
        <v>38</v>
      </c>
    </row>
    <row r="193" spans="1:11" x14ac:dyDescent="0.25">
      <c r="A193" s="8">
        <v>189</v>
      </c>
      <c r="B193" s="9">
        <v>28</v>
      </c>
      <c r="C193" s="9">
        <v>47</v>
      </c>
      <c r="D193" s="9">
        <v>76</v>
      </c>
      <c r="E193" s="10">
        <v>38</v>
      </c>
      <c r="G193" s="8">
        <v>189</v>
      </c>
      <c r="H193" s="9">
        <v>28</v>
      </c>
      <c r="I193" s="9">
        <v>47</v>
      </c>
      <c r="J193" s="9">
        <v>76</v>
      </c>
      <c r="K193" s="10">
        <v>38</v>
      </c>
    </row>
    <row r="194" spans="1:11" x14ac:dyDescent="0.25">
      <c r="A194" s="8">
        <v>190</v>
      </c>
      <c r="B194" s="9">
        <v>29</v>
      </c>
      <c r="C194" s="9">
        <v>47</v>
      </c>
      <c r="D194" s="9">
        <v>76</v>
      </c>
      <c r="E194" s="10">
        <v>38</v>
      </c>
      <c r="G194" s="8">
        <v>190</v>
      </c>
      <c r="H194" s="9">
        <v>29</v>
      </c>
      <c r="I194" s="9">
        <v>47</v>
      </c>
      <c r="J194" s="9">
        <v>76</v>
      </c>
      <c r="K194" s="10">
        <v>38</v>
      </c>
    </row>
    <row r="195" spans="1:11" x14ac:dyDescent="0.25">
      <c r="A195" s="8">
        <v>191</v>
      </c>
      <c r="B195" s="9">
        <v>29</v>
      </c>
      <c r="C195" s="9">
        <v>48</v>
      </c>
      <c r="D195" s="9">
        <v>76</v>
      </c>
      <c r="E195" s="10">
        <v>38</v>
      </c>
      <c r="G195" s="8">
        <v>191</v>
      </c>
      <c r="H195" s="9">
        <v>29</v>
      </c>
      <c r="I195" s="9">
        <v>48</v>
      </c>
      <c r="J195" s="9">
        <v>76</v>
      </c>
      <c r="K195" s="10">
        <v>38</v>
      </c>
    </row>
    <row r="196" spans="1:11" x14ac:dyDescent="0.25">
      <c r="A196" s="8">
        <v>192</v>
      </c>
      <c r="B196" s="9">
        <v>29</v>
      </c>
      <c r="C196" s="9">
        <v>48</v>
      </c>
      <c r="D196" s="9">
        <v>77</v>
      </c>
      <c r="E196" s="10">
        <v>38</v>
      </c>
      <c r="G196" s="8">
        <v>192</v>
      </c>
      <c r="H196" s="9">
        <v>29</v>
      </c>
      <c r="I196" s="9">
        <v>48</v>
      </c>
      <c r="J196" s="9">
        <v>77</v>
      </c>
      <c r="K196" s="10">
        <v>38</v>
      </c>
    </row>
    <row r="197" spans="1:11" x14ac:dyDescent="0.25">
      <c r="A197" s="8">
        <v>193</v>
      </c>
      <c r="B197" s="9">
        <v>29</v>
      </c>
      <c r="C197" s="9">
        <v>48</v>
      </c>
      <c r="D197" s="9">
        <v>77</v>
      </c>
      <c r="E197" s="10">
        <v>39</v>
      </c>
      <c r="G197" s="8">
        <v>193</v>
      </c>
      <c r="H197" s="9">
        <v>29</v>
      </c>
      <c r="I197" s="9">
        <v>48</v>
      </c>
      <c r="J197" s="9">
        <v>77</v>
      </c>
      <c r="K197" s="10">
        <v>39</v>
      </c>
    </row>
    <row r="198" spans="1:11" x14ac:dyDescent="0.25">
      <c r="A198" s="8">
        <v>194</v>
      </c>
      <c r="B198" s="9">
        <v>29</v>
      </c>
      <c r="C198" s="9">
        <v>49</v>
      </c>
      <c r="D198" s="9">
        <v>77</v>
      </c>
      <c r="E198" s="10">
        <v>39</v>
      </c>
      <c r="G198" s="8">
        <v>194</v>
      </c>
      <c r="H198" s="9">
        <v>29</v>
      </c>
      <c r="I198" s="9">
        <v>49</v>
      </c>
      <c r="J198" s="9">
        <v>77</v>
      </c>
      <c r="K198" s="10">
        <v>39</v>
      </c>
    </row>
    <row r="199" spans="1:11" x14ac:dyDescent="0.25">
      <c r="A199" s="8">
        <v>195</v>
      </c>
      <c r="B199" s="9">
        <v>29</v>
      </c>
      <c r="C199" s="9">
        <v>49</v>
      </c>
      <c r="D199" s="9">
        <v>78</v>
      </c>
      <c r="E199" s="10">
        <v>39</v>
      </c>
      <c r="G199" s="8">
        <v>195</v>
      </c>
      <c r="H199" s="9">
        <v>29</v>
      </c>
      <c r="I199" s="9">
        <v>49</v>
      </c>
      <c r="J199" s="9">
        <v>78</v>
      </c>
      <c r="K199" s="10">
        <v>39</v>
      </c>
    </row>
    <row r="200" spans="1:11" x14ac:dyDescent="0.25">
      <c r="A200" s="8">
        <v>196</v>
      </c>
      <c r="B200" s="9">
        <v>29</v>
      </c>
      <c r="C200" s="9">
        <v>49</v>
      </c>
      <c r="D200" s="9">
        <v>79</v>
      </c>
      <c r="E200" s="10">
        <v>39</v>
      </c>
      <c r="G200" s="8">
        <v>196</v>
      </c>
      <c r="H200" s="9">
        <v>29</v>
      </c>
      <c r="I200" s="9">
        <v>49</v>
      </c>
      <c r="J200" s="9">
        <v>79</v>
      </c>
      <c r="K200" s="10">
        <v>39</v>
      </c>
    </row>
    <row r="201" spans="1:11" x14ac:dyDescent="0.25">
      <c r="A201" s="8">
        <v>197</v>
      </c>
      <c r="B201" s="9">
        <v>30</v>
      </c>
      <c r="C201" s="9">
        <v>49</v>
      </c>
      <c r="D201" s="9">
        <v>79</v>
      </c>
      <c r="E201" s="10">
        <v>39</v>
      </c>
      <c r="G201" s="8">
        <v>197</v>
      </c>
      <c r="H201" s="9">
        <v>30</v>
      </c>
      <c r="I201" s="9">
        <v>49</v>
      </c>
      <c r="J201" s="9">
        <v>79</v>
      </c>
      <c r="K201" s="10">
        <v>39</v>
      </c>
    </row>
    <row r="202" spans="1:11" x14ac:dyDescent="0.25">
      <c r="A202" s="8">
        <v>198</v>
      </c>
      <c r="B202" s="9">
        <v>30</v>
      </c>
      <c r="C202" s="9">
        <v>50</v>
      </c>
      <c r="D202" s="9">
        <v>79</v>
      </c>
      <c r="E202" s="10">
        <v>39</v>
      </c>
      <c r="G202" s="8">
        <v>198</v>
      </c>
      <c r="H202" s="9">
        <v>30</v>
      </c>
      <c r="I202" s="9">
        <v>50</v>
      </c>
      <c r="J202" s="9">
        <v>79</v>
      </c>
      <c r="K202" s="10">
        <v>39</v>
      </c>
    </row>
    <row r="203" spans="1:11" x14ac:dyDescent="0.25">
      <c r="A203" s="8">
        <v>199</v>
      </c>
      <c r="B203" s="9">
        <v>30</v>
      </c>
      <c r="C203" s="9">
        <v>50</v>
      </c>
      <c r="D203" s="9">
        <v>80</v>
      </c>
      <c r="E203" s="10">
        <v>39</v>
      </c>
      <c r="G203" s="8">
        <v>199</v>
      </c>
      <c r="H203" s="9">
        <v>30</v>
      </c>
      <c r="I203" s="9">
        <v>50</v>
      </c>
      <c r="J203" s="9">
        <v>80</v>
      </c>
      <c r="K203" s="10">
        <v>39</v>
      </c>
    </row>
    <row r="204" spans="1:11" x14ac:dyDescent="0.25">
      <c r="A204" s="8">
        <v>200</v>
      </c>
      <c r="B204" s="9">
        <v>30</v>
      </c>
      <c r="C204" s="9">
        <v>50</v>
      </c>
      <c r="D204" s="9">
        <v>80</v>
      </c>
      <c r="E204" s="10">
        <v>40</v>
      </c>
      <c r="G204" s="8">
        <v>200</v>
      </c>
      <c r="H204" s="9">
        <v>30</v>
      </c>
      <c r="I204" s="9">
        <v>50</v>
      </c>
      <c r="J204" s="9">
        <v>80</v>
      </c>
      <c r="K204" s="10">
        <v>40</v>
      </c>
    </row>
    <row r="205" spans="1:11" x14ac:dyDescent="0.25">
      <c r="A205" s="8">
        <v>201</v>
      </c>
      <c r="B205" s="9">
        <v>30</v>
      </c>
      <c r="C205" s="9">
        <v>50</v>
      </c>
      <c r="D205" s="9">
        <v>81</v>
      </c>
      <c r="E205" s="10">
        <v>40</v>
      </c>
      <c r="G205" s="8">
        <v>201</v>
      </c>
      <c r="H205" s="9">
        <v>30</v>
      </c>
      <c r="I205" s="9">
        <v>50</v>
      </c>
      <c r="J205" s="9">
        <v>81</v>
      </c>
      <c r="K205" s="10">
        <v>40</v>
      </c>
    </row>
    <row r="206" spans="1:11" x14ac:dyDescent="0.25">
      <c r="A206" s="8">
        <v>202</v>
      </c>
      <c r="B206" s="9">
        <v>30</v>
      </c>
      <c r="C206" s="9">
        <v>51</v>
      </c>
      <c r="D206" s="9">
        <v>81</v>
      </c>
      <c r="E206" s="10">
        <v>40</v>
      </c>
      <c r="G206" s="8">
        <v>202</v>
      </c>
      <c r="H206" s="9">
        <v>30</v>
      </c>
      <c r="I206" s="9">
        <v>51</v>
      </c>
      <c r="J206" s="9">
        <v>81</v>
      </c>
      <c r="K206" s="10">
        <v>40</v>
      </c>
    </row>
    <row r="207" spans="1:11" x14ac:dyDescent="0.25">
      <c r="A207" s="8">
        <v>203</v>
      </c>
      <c r="B207" s="9">
        <v>30</v>
      </c>
      <c r="C207" s="9">
        <v>51</v>
      </c>
      <c r="D207" s="9">
        <v>81</v>
      </c>
      <c r="E207" s="10">
        <v>41</v>
      </c>
      <c r="G207" s="8">
        <v>203</v>
      </c>
      <c r="H207" s="9">
        <v>30</v>
      </c>
      <c r="I207" s="9">
        <v>51</v>
      </c>
      <c r="J207" s="9">
        <v>81</v>
      </c>
      <c r="K207" s="10">
        <v>41</v>
      </c>
    </row>
    <row r="208" spans="1:11" x14ac:dyDescent="0.25">
      <c r="A208" s="8">
        <v>204</v>
      </c>
      <c r="B208" s="9">
        <v>31</v>
      </c>
      <c r="C208" s="9">
        <v>51</v>
      </c>
      <c r="D208" s="9">
        <v>81</v>
      </c>
      <c r="E208" s="10">
        <v>41</v>
      </c>
      <c r="G208" s="8">
        <v>204</v>
      </c>
      <c r="H208" s="9">
        <v>31</v>
      </c>
      <c r="I208" s="9">
        <v>51</v>
      </c>
      <c r="J208" s="9">
        <v>81</v>
      </c>
      <c r="K208" s="10">
        <v>41</v>
      </c>
    </row>
    <row r="209" spans="1:11" x14ac:dyDescent="0.25">
      <c r="A209" s="8">
        <v>205</v>
      </c>
      <c r="B209" s="9">
        <v>31</v>
      </c>
      <c r="C209" s="9">
        <v>51</v>
      </c>
      <c r="D209" s="9">
        <v>82</v>
      </c>
      <c r="E209" s="10">
        <v>41</v>
      </c>
      <c r="G209" s="8">
        <v>205</v>
      </c>
      <c r="H209" s="9">
        <v>31</v>
      </c>
      <c r="I209" s="9">
        <v>51</v>
      </c>
      <c r="J209" s="9">
        <v>82</v>
      </c>
      <c r="K209" s="10">
        <v>41</v>
      </c>
    </row>
    <row r="210" spans="1:11" x14ac:dyDescent="0.25">
      <c r="A210" s="8">
        <v>206</v>
      </c>
      <c r="B210" s="9">
        <v>31</v>
      </c>
      <c r="C210" s="9">
        <v>52</v>
      </c>
      <c r="D210" s="9">
        <v>82</v>
      </c>
      <c r="E210" s="10">
        <v>41</v>
      </c>
      <c r="G210" s="8">
        <v>206</v>
      </c>
      <c r="H210" s="9">
        <v>31</v>
      </c>
      <c r="I210" s="9">
        <v>52</v>
      </c>
      <c r="J210" s="9">
        <v>82</v>
      </c>
      <c r="K210" s="10">
        <v>41</v>
      </c>
    </row>
    <row r="211" spans="1:11" x14ac:dyDescent="0.25">
      <c r="A211" s="8">
        <v>207</v>
      </c>
      <c r="B211" s="9">
        <v>31</v>
      </c>
      <c r="C211" s="9">
        <v>52</v>
      </c>
      <c r="D211" s="9">
        <v>83</v>
      </c>
      <c r="E211" s="10">
        <v>41</v>
      </c>
      <c r="G211" s="8">
        <v>207</v>
      </c>
      <c r="H211" s="9">
        <v>31</v>
      </c>
      <c r="I211" s="9">
        <v>52</v>
      </c>
      <c r="J211" s="9">
        <v>83</v>
      </c>
      <c r="K211" s="10">
        <v>41</v>
      </c>
    </row>
    <row r="212" spans="1:11" x14ac:dyDescent="0.25">
      <c r="A212" s="8">
        <v>208</v>
      </c>
      <c r="B212" s="9">
        <v>31</v>
      </c>
      <c r="C212" s="9">
        <v>52</v>
      </c>
      <c r="D212" s="9">
        <v>83</v>
      </c>
      <c r="E212" s="10">
        <v>42</v>
      </c>
      <c r="G212" s="8">
        <v>208</v>
      </c>
      <c r="H212" s="9">
        <v>31</v>
      </c>
      <c r="I212" s="9">
        <v>52</v>
      </c>
      <c r="J212" s="9">
        <v>83</v>
      </c>
      <c r="K212" s="10">
        <v>42</v>
      </c>
    </row>
    <row r="213" spans="1:11" x14ac:dyDescent="0.25">
      <c r="A213" s="8">
        <v>209</v>
      </c>
      <c r="B213" s="9">
        <v>31</v>
      </c>
      <c r="C213" s="9">
        <v>52</v>
      </c>
      <c r="D213" s="9">
        <v>84</v>
      </c>
      <c r="E213" s="10">
        <v>42</v>
      </c>
      <c r="G213" s="8">
        <v>209</v>
      </c>
      <c r="H213" s="9">
        <v>31</v>
      </c>
      <c r="I213" s="9">
        <v>52</v>
      </c>
      <c r="J213" s="9">
        <v>84</v>
      </c>
      <c r="K213" s="10">
        <v>42</v>
      </c>
    </row>
    <row r="214" spans="1:11" x14ac:dyDescent="0.25">
      <c r="A214" s="8">
        <v>210</v>
      </c>
      <c r="B214" s="9">
        <v>32</v>
      </c>
      <c r="C214" s="9">
        <v>52</v>
      </c>
      <c r="D214" s="9">
        <v>84</v>
      </c>
      <c r="E214" s="10">
        <v>42</v>
      </c>
      <c r="G214" s="8">
        <v>210</v>
      </c>
      <c r="H214" s="9">
        <v>32</v>
      </c>
      <c r="I214" s="9">
        <v>52</v>
      </c>
      <c r="J214" s="9">
        <v>84</v>
      </c>
      <c r="K214" s="10">
        <v>42</v>
      </c>
    </row>
    <row r="215" spans="1:11" x14ac:dyDescent="0.25">
      <c r="A215" s="8">
        <v>211</v>
      </c>
      <c r="B215" s="9">
        <v>32</v>
      </c>
      <c r="C215" s="9">
        <v>53</v>
      </c>
      <c r="D215" s="9">
        <v>84</v>
      </c>
      <c r="E215" s="10">
        <v>42</v>
      </c>
      <c r="G215" s="8">
        <v>211</v>
      </c>
      <c r="H215" s="9">
        <v>32</v>
      </c>
      <c r="I215" s="9">
        <v>53</v>
      </c>
      <c r="J215" s="9">
        <v>84</v>
      </c>
      <c r="K215" s="10">
        <v>42</v>
      </c>
    </row>
    <row r="216" spans="1:11" x14ac:dyDescent="0.25">
      <c r="A216" s="8">
        <v>212</v>
      </c>
      <c r="B216" s="9">
        <v>32</v>
      </c>
      <c r="C216" s="9">
        <v>53</v>
      </c>
      <c r="D216" s="9">
        <v>85</v>
      </c>
      <c r="E216" s="10">
        <v>42</v>
      </c>
      <c r="G216" s="8">
        <v>212</v>
      </c>
      <c r="H216" s="9">
        <v>32</v>
      </c>
      <c r="I216" s="9">
        <v>53</v>
      </c>
      <c r="J216" s="9">
        <v>85</v>
      </c>
      <c r="K216" s="10">
        <v>42</v>
      </c>
    </row>
    <row r="217" spans="1:11" x14ac:dyDescent="0.25">
      <c r="A217" s="8">
        <v>213</v>
      </c>
      <c r="B217" s="9">
        <v>32</v>
      </c>
      <c r="C217" s="9">
        <v>53</v>
      </c>
      <c r="D217" s="9">
        <v>85</v>
      </c>
      <c r="E217" s="10">
        <v>43</v>
      </c>
      <c r="G217" s="8">
        <v>213</v>
      </c>
      <c r="H217" s="9">
        <v>32</v>
      </c>
      <c r="I217" s="9">
        <v>53</v>
      </c>
      <c r="J217" s="9">
        <v>85</v>
      </c>
      <c r="K217" s="10">
        <v>43</v>
      </c>
    </row>
    <row r="218" spans="1:11" x14ac:dyDescent="0.25">
      <c r="A218" s="8">
        <v>214</v>
      </c>
      <c r="B218" s="9">
        <v>32</v>
      </c>
      <c r="C218" s="9">
        <v>54</v>
      </c>
      <c r="D218" s="9">
        <v>85</v>
      </c>
      <c r="E218" s="10">
        <v>43</v>
      </c>
      <c r="G218" s="8">
        <v>214</v>
      </c>
      <c r="H218" s="9">
        <v>32</v>
      </c>
      <c r="I218" s="9">
        <v>54</v>
      </c>
      <c r="J218" s="9">
        <v>85</v>
      </c>
      <c r="K218" s="10">
        <v>43</v>
      </c>
    </row>
    <row r="219" spans="1:11" x14ac:dyDescent="0.25">
      <c r="A219" s="8">
        <v>215</v>
      </c>
      <c r="B219" s="9">
        <v>32</v>
      </c>
      <c r="C219" s="9">
        <v>54</v>
      </c>
      <c r="D219" s="9">
        <v>86</v>
      </c>
      <c r="E219" s="10">
        <v>43</v>
      </c>
      <c r="G219" s="8">
        <v>215</v>
      </c>
      <c r="H219" s="9">
        <v>32</v>
      </c>
      <c r="I219" s="9">
        <v>54</v>
      </c>
      <c r="J219" s="9">
        <v>86</v>
      </c>
      <c r="K219" s="10">
        <v>43</v>
      </c>
    </row>
    <row r="220" spans="1:11" x14ac:dyDescent="0.25">
      <c r="A220" s="8">
        <v>216</v>
      </c>
      <c r="B220" s="9">
        <v>32</v>
      </c>
      <c r="C220" s="9">
        <v>54</v>
      </c>
      <c r="D220" s="9">
        <v>87</v>
      </c>
      <c r="E220" s="10">
        <v>43</v>
      </c>
      <c r="G220" s="8">
        <v>216</v>
      </c>
      <c r="H220" s="9">
        <v>32</v>
      </c>
      <c r="I220" s="9">
        <v>54</v>
      </c>
      <c r="J220" s="9">
        <v>87</v>
      </c>
      <c r="K220" s="10">
        <v>43</v>
      </c>
    </row>
    <row r="221" spans="1:11" x14ac:dyDescent="0.25">
      <c r="A221" s="8">
        <v>217</v>
      </c>
      <c r="B221" s="9">
        <v>33</v>
      </c>
      <c r="C221" s="9">
        <v>54</v>
      </c>
      <c r="D221" s="9">
        <v>87</v>
      </c>
      <c r="E221" s="10">
        <v>43</v>
      </c>
      <c r="G221" s="8">
        <v>217</v>
      </c>
      <c r="H221" s="9">
        <v>33</v>
      </c>
      <c r="I221" s="9">
        <v>54</v>
      </c>
      <c r="J221" s="9">
        <v>87</v>
      </c>
      <c r="K221" s="10">
        <v>43</v>
      </c>
    </row>
    <row r="222" spans="1:11" x14ac:dyDescent="0.25">
      <c r="A222" s="8">
        <v>218</v>
      </c>
      <c r="B222" s="9">
        <v>33</v>
      </c>
      <c r="C222" s="9">
        <v>55</v>
      </c>
      <c r="D222" s="9">
        <v>87</v>
      </c>
      <c r="E222" s="10">
        <v>43</v>
      </c>
      <c r="G222" s="8">
        <v>218</v>
      </c>
      <c r="H222" s="9">
        <v>33</v>
      </c>
      <c r="I222" s="9">
        <v>55</v>
      </c>
      <c r="J222" s="9">
        <v>87</v>
      </c>
      <c r="K222" s="10">
        <v>43</v>
      </c>
    </row>
    <row r="223" spans="1:11" x14ac:dyDescent="0.25">
      <c r="A223" s="8">
        <v>219</v>
      </c>
      <c r="B223" s="9">
        <v>33</v>
      </c>
      <c r="C223" s="9">
        <v>55</v>
      </c>
      <c r="D223" s="9">
        <v>88</v>
      </c>
      <c r="E223" s="10">
        <v>43</v>
      </c>
      <c r="G223" s="8">
        <v>219</v>
      </c>
      <c r="H223" s="9">
        <v>33</v>
      </c>
      <c r="I223" s="9">
        <v>55</v>
      </c>
      <c r="J223" s="9">
        <v>88</v>
      </c>
      <c r="K223" s="10">
        <v>43</v>
      </c>
    </row>
    <row r="224" spans="1:11" x14ac:dyDescent="0.25">
      <c r="A224" s="8">
        <v>220</v>
      </c>
      <c r="B224" s="9">
        <v>33</v>
      </c>
      <c r="C224" s="9">
        <v>55</v>
      </c>
      <c r="D224" s="9">
        <v>88</v>
      </c>
      <c r="E224" s="10">
        <v>44</v>
      </c>
      <c r="G224" s="8">
        <v>220</v>
      </c>
      <c r="H224" s="9">
        <v>33</v>
      </c>
      <c r="I224" s="9">
        <v>55</v>
      </c>
      <c r="J224" s="9">
        <v>88</v>
      </c>
      <c r="K224" s="10">
        <v>44</v>
      </c>
    </row>
    <row r="225" spans="1:11" x14ac:dyDescent="0.25">
      <c r="A225" s="8">
        <v>221</v>
      </c>
      <c r="B225" s="9">
        <v>33</v>
      </c>
      <c r="C225" s="9">
        <v>55</v>
      </c>
      <c r="D225" s="9">
        <v>89</v>
      </c>
      <c r="E225" s="10">
        <v>44</v>
      </c>
      <c r="G225" s="8">
        <v>221</v>
      </c>
      <c r="H225" s="9">
        <v>33</v>
      </c>
      <c r="I225" s="9">
        <v>55</v>
      </c>
      <c r="J225" s="9">
        <v>89</v>
      </c>
      <c r="K225" s="10">
        <v>44</v>
      </c>
    </row>
    <row r="226" spans="1:11" x14ac:dyDescent="0.25">
      <c r="A226" s="8">
        <v>222</v>
      </c>
      <c r="B226" s="9">
        <v>33</v>
      </c>
      <c r="C226" s="9">
        <v>56</v>
      </c>
      <c r="D226" s="9">
        <v>89</v>
      </c>
      <c r="E226" s="10">
        <v>44</v>
      </c>
      <c r="G226" s="8">
        <v>222</v>
      </c>
      <c r="H226" s="9">
        <v>33</v>
      </c>
      <c r="I226" s="9">
        <v>56</v>
      </c>
      <c r="J226" s="9">
        <v>89</v>
      </c>
      <c r="K226" s="10">
        <v>44</v>
      </c>
    </row>
    <row r="227" spans="1:11" x14ac:dyDescent="0.25">
      <c r="A227" s="8">
        <v>223</v>
      </c>
      <c r="B227" s="9">
        <v>33</v>
      </c>
      <c r="C227" s="9">
        <v>56</v>
      </c>
      <c r="D227" s="9">
        <v>89</v>
      </c>
      <c r="E227" s="10">
        <v>45</v>
      </c>
      <c r="G227" s="8">
        <v>223</v>
      </c>
      <c r="H227" s="9">
        <v>33</v>
      </c>
      <c r="I227" s="9">
        <v>56</v>
      </c>
      <c r="J227" s="9">
        <v>89</v>
      </c>
      <c r="K227" s="10">
        <v>45</v>
      </c>
    </row>
    <row r="228" spans="1:11" x14ac:dyDescent="0.25">
      <c r="A228" s="8">
        <v>224</v>
      </c>
      <c r="B228" s="9">
        <v>34</v>
      </c>
      <c r="C228" s="9">
        <v>56</v>
      </c>
      <c r="D228" s="9">
        <v>89</v>
      </c>
      <c r="E228" s="10">
        <v>45</v>
      </c>
      <c r="G228" s="8">
        <v>224</v>
      </c>
      <c r="H228" s="9">
        <v>34</v>
      </c>
      <c r="I228" s="9">
        <v>56</v>
      </c>
      <c r="J228" s="9">
        <v>89</v>
      </c>
      <c r="K228" s="10">
        <v>45</v>
      </c>
    </row>
    <row r="229" spans="1:11" x14ac:dyDescent="0.25">
      <c r="A229" s="8">
        <v>225</v>
      </c>
      <c r="B229" s="9">
        <v>34</v>
      </c>
      <c r="C229" s="9">
        <v>56</v>
      </c>
      <c r="D229" s="9">
        <v>90</v>
      </c>
      <c r="E229" s="10">
        <v>45</v>
      </c>
      <c r="G229" s="8">
        <v>225</v>
      </c>
      <c r="H229" s="9">
        <v>34</v>
      </c>
      <c r="I229" s="9">
        <v>56</v>
      </c>
      <c r="J229" s="9">
        <v>90</v>
      </c>
      <c r="K229" s="10">
        <v>45</v>
      </c>
    </row>
    <row r="230" spans="1:11" x14ac:dyDescent="0.25">
      <c r="A230" s="8">
        <v>226</v>
      </c>
      <c r="B230" s="9">
        <v>34</v>
      </c>
      <c r="C230" s="9">
        <v>57</v>
      </c>
      <c r="D230" s="9">
        <v>90</v>
      </c>
      <c r="E230" s="10">
        <v>45</v>
      </c>
      <c r="G230" s="8">
        <v>226</v>
      </c>
      <c r="H230" s="9">
        <v>34</v>
      </c>
      <c r="I230" s="9">
        <v>57</v>
      </c>
      <c r="J230" s="9">
        <v>90</v>
      </c>
      <c r="K230" s="10">
        <v>45</v>
      </c>
    </row>
    <row r="231" spans="1:11" x14ac:dyDescent="0.25">
      <c r="A231" s="8">
        <v>227</v>
      </c>
      <c r="B231" s="9">
        <v>34</v>
      </c>
      <c r="C231" s="9">
        <v>57</v>
      </c>
      <c r="D231" s="9">
        <v>91</v>
      </c>
      <c r="E231" s="10">
        <v>45</v>
      </c>
      <c r="G231" s="8">
        <v>227</v>
      </c>
      <c r="H231" s="9">
        <v>34</v>
      </c>
      <c r="I231" s="9">
        <v>57</v>
      </c>
      <c r="J231" s="9">
        <v>91</v>
      </c>
      <c r="K231" s="10">
        <v>45</v>
      </c>
    </row>
    <row r="232" spans="1:11" x14ac:dyDescent="0.25">
      <c r="A232" s="8">
        <v>228</v>
      </c>
      <c r="B232" s="9">
        <v>34</v>
      </c>
      <c r="C232" s="9">
        <v>57</v>
      </c>
      <c r="D232" s="9">
        <v>91</v>
      </c>
      <c r="E232" s="10">
        <v>46</v>
      </c>
      <c r="G232" s="8">
        <v>228</v>
      </c>
      <c r="H232" s="9">
        <v>34</v>
      </c>
      <c r="I232" s="9">
        <v>57</v>
      </c>
      <c r="J232" s="9">
        <v>91</v>
      </c>
      <c r="K232" s="10">
        <v>46</v>
      </c>
    </row>
    <row r="233" spans="1:11" x14ac:dyDescent="0.25">
      <c r="A233" s="8">
        <v>229</v>
      </c>
      <c r="B233" s="9">
        <v>34</v>
      </c>
      <c r="C233" s="9">
        <v>57</v>
      </c>
      <c r="D233" s="9">
        <v>92</v>
      </c>
      <c r="E233" s="10">
        <v>46</v>
      </c>
      <c r="G233" s="8">
        <v>229</v>
      </c>
      <c r="H233" s="9">
        <v>34</v>
      </c>
      <c r="I233" s="9">
        <v>57</v>
      </c>
      <c r="J233" s="9">
        <v>92</v>
      </c>
      <c r="K233" s="10">
        <v>46</v>
      </c>
    </row>
    <row r="234" spans="1:11" x14ac:dyDescent="0.25">
      <c r="A234" s="8">
        <v>230</v>
      </c>
      <c r="B234" s="9">
        <v>35</v>
      </c>
      <c r="C234" s="9">
        <v>57</v>
      </c>
      <c r="D234" s="9">
        <v>92</v>
      </c>
      <c r="E234" s="10">
        <v>46</v>
      </c>
      <c r="G234" s="8">
        <v>230</v>
      </c>
      <c r="H234" s="9">
        <v>35</v>
      </c>
      <c r="I234" s="9">
        <v>57</v>
      </c>
      <c r="J234" s="9">
        <v>92</v>
      </c>
      <c r="K234" s="10">
        <v>46</v>
      </c>
    </row>
    <row r="235" spans="1:11" x14ac:dyDescent="0.25">
      <c r="A235" s="8">
        <v>231</v>
      </c>
      <c r="B235" s="9">
        <v>35</v>
      </c>
      <c r="C235" s="9">
        <v>58</v>
      </c>
      <c r="D235" s="9">
        <v>92</v>
      </c>
      <c r="E235" s="10">
        <v>46</v>
      </c>
      <c r="G235" s="8">
        <v>231</v>
      </c>
      <c r="H235" s="9">
        <v>35</v>
      </c>
      <c r="I235" s="9">
        <v>58</v>
      </c>
      <c r="J235" s="9">
        <v>92</v>
      </c>
      <c r="K235" s="10">
        <v>46</v>
      </c>
    </row>
    <row r="236" spans="1:11" x14ac:dyDescent="0.25">
      <c r="A236" s="8">
        <v>232</v>
      </c>
      <c r="B236" s="9">
        <v>35</v>
      </c>
      <c r="C236" s="9">
        <v>58</v>
      </c>
      <c r="D236" s="9">
        <v>93</v>
      </c>
      <c r="E236" s="10">
        <v>46</v>
      </c>
      <c r="G236" s="8">
        <v>232</v>
      </c>
      <c r="H236" s="9">
        <v>35</v>
      </c>
      <c r="I236" s="9">
        <v>58</v>
      </c>
      <c r="J236" s="9">
        <v>93</v>
      </c>
      <c r="K236" s="10">
        <v>46</v>
      </c>
    </row>
    <row r="237" spans="1:11" x14ac:dyDescent="0.25">
      <c r="A237" s="8">
        <v>233</v>
      </c>
      <c r="B237" s="9">
        <v>35</v>
      </c>
      <c r="C237" s="9">
        <v>58</v>
      </c>
      <c r="D237" s="9">
        <v>93</v>
      </c>
      <c r="E237" s="10">
        <v>47</v>
      </c>
      <c r="G237" s="8">
        <v>233</v>
      </c>
      <c r="H237" s="9">
        <v>35</v>
      </c>
      <c r="I237" s="9">
        <v>58</v>
      </c>
      <c r="J237" s="9">
        <v>93</v>
      </c>
      <c r="K237" s="10">
        <v>47</v>
      </c>
    </row>
    <row r="238" spans="1:11" x14ac:dyDescent="0.25">
      <c r="A238" s="8">
        <v>234</v>
      </c>
      <c r="B238" s="9">
        <v>35</v>
      </c>
      <c r="C238" s="9">
        <v>59</v>
      </c>
      <c r="D238" s="9">
        <v>93</v>
      </c>
      <c r="E238" s="10">
        <v>47</v>
      </c>
      <c r="G238" s="8">
        <v>234</v>
      </c>
      <c r="H238" s="9">
        <v>35</v>
      </c>
      <c r="I238" s="9">
        <v>59</v>
      </c>
      <c r="J238" s="9">
        <v>93</v>
      </c>
      <c r="K238" s="10">
        <v>47</v>
      </c>
    </row>
    <row r="239" spans="1:11" x14ac:dyDescent="0.25">
      <c r="A239" s="8">
        <v>235</v>
      </c>
      <c r="B239" s="9">
        <v>35</v>
      </c>
      <c r="C239" s="9">
        <v>59</v>
      </c>
      <c r="D239" s="9">
        <v>94</v>
      </c>
      <c r="E239" s="10">
        <v>47</v>
      </c>
      <c r="G239" s="8">
        <v>235</v>
      </c>
      <c r="H239" s="9">
        <v>35</v>
      </c>
      <c r="I239" s="9">
        <v>59</v>
      </c>
      <c r="J239" s="9">
        <v>94</v>
      </c>
      <c r="K239" s="10">
        <v>47</v>
      </c>
    </row>
    <row r="240" spans="1:11" x14ac:dyDescent="0.25">
      <c r="A240" s="8">
        <v>236</v>
      </c>
      <c r="B240" s="9">
        <v>35</v>
      </c>
      <c r="C240" s="9">
        <v>59</v>
      </c>
      <c r="D240" s="9">
        <v>95</v>
      </c>
      <c r="E240" s="10">
        <v>47</v>
      </c>
      <c r="G240" s="8">
        <v>236</v>
      </c>
      <c r="H240" s="9">
        <v>35</v>
      </c>
      <c r="I240" s="9">
        <v>59</v>
      </c>
      <c r="J240" s="9">
        <v>95</v>
      </c>
      <c r="K240" s="10">
        <v>47</v>
      </c>
    </row>
    <row r="241" spans="1:11" x14ac:dyDescent="0.25">
      <c r="A241" s="8">
        <v>237</v>
      </c>
      <c r="B241" s="9">
        <v>36</v>
      </c>
      <c r="C241" s="9">
        <v>59</v>
      </c>
      <c r="D241" s="9">
        <v>95</v>
      </c>
      <c r="E241" s="10">
        <v>47</v>
      </c>
      <c r="G241" s="8">
        <v>237</v>
      </c>
      <c r="H241" s="9">
        <v>36</v>
      </c>
      <c r="I241" s="9">
        <v>59</v>
      </c>
      <c r="J241" s="9">
        <v>95</v>
      </c>
      <c r="K241" s="10">
        <v>47</v>
      </c>
    </row>
    <row r="242" spans="1:11" x14ac:dyDescent="0.25">
      <c r="A242" s="8">
        <v>238</v>
      </c>
      <c r="B242" s="9">
        <v>36</v>
      </c>
      <c r="C242" s="9">
        <v>60</v>
      </c>
      <c r="D242" s="9">
        <v>95</v>
      </c>
      <c r="E242" s="10">
        <v>47</v>
      </c>
      <c r="G242" s="8">
        <v>238</v>
      </c>
      <c r="H242" s="9">
        <v>36</v>
      </c>
      <c r="I242" s="9">
        <v>60</v>
      </c>
      <c r="J242" s="9">
        <v>95</v>
      </c>
      <c r="K242" s="10">
        <v>47</v>
      </c>
    </row>
    <row r="243" spans="1:11" x14ac:dyDescent="0.25">
      <c r="A243" s="8">
        <v>239</v>
      </c>
      <c r="B243" s="9">
        <v>36</v>
      </c>
      <c r="C243" s="9">
        <v>60</v>
      </c>
      <c r="D243" s="9">
        <v>96</v>
      </c>
      <c r="E243" s="10">
        <v>47</v>
      </c>
      <c r="G243" s="8">
        <v>239</v>
      </c>
      <c r="H243" s="9">
        <v>36</v>
      </c>
      <c r="I243" s="9">
        <v>60</v>
      </c>
      <c r="J243" s="9">
        <v>96</v>
      </c>
      <c r="K243" s="10">
        <v>47</v>
      </c>
    </row>
    <row r="244" spans="1:11" x14ac:dyDescent="0.25">
      <c r="A244" s="8">
        <v>240</v>
      </c>
      <c r="B244" s="9">
        <v>36</v>
      </c>
      <c r="C244" s="9">
        <v>60</v>
      </c>
      <c r="D244" s="9">
        <v>96</v>
      </c>
      <c r="E244" s="10">
        <v>48</v>
      </c>
      <c r="G244" s="8">
        <v>240</v>
      </c>
      <c r="H244" s="9">
        <v>36</v>
      </c>
      <c r="I244" s="9">
        <v>60</v>
      </c>
      <c r="J244" s="9">
        <v>96</v>
      </c>
      <c r="K244" s="10">
        <v>48</v>
      </c>
    </row>
    <row r="245" spans="1:11" x14ac:dyDescent="0.25">
      <c r="A245" s="8">
        <v>241</v>
      </c>
      <c r="B245" s="9">
        <v>36</v>
      </c>
      <c r="C245" s="9">
        <v>60</v>
      </c>
      <c r="D245" s="9">
        <v>97</v>
      </c>
      <c r="E245" s="10">
        <v>48</v>
      </c>
      <c r="G245" s="8">
        <v>241</v>
      </c>
      <c r="H245" s="9">
        <v>36</v>
      </c>
      <c r="I245" s="9">
        <v>60</v>
      </c>
      <c r="J245" s="9">
        <v>97</v>
      </c>
      <c r="K245" s="10">
        <v>48</v>
      </c>
    </row>
    <row r="246" spans="1:11" x14ac:dyDescent="0.25">
      <c r="A246" s="8">
        <v>242</v>
      </c>
      <c r="B246" s="9">
        <v>36</v>
      </c>
      <c r="C246" s="9">
        <v>61</v>
      </c>
      <c r="D246" s="9">
        <v>97</v>
      </c>
      <c r="E246" s="10">
        <v>48</v>
      </c>
      <c r="G246" s="8">
        <v>242</v>
      </c>
      <c r="H246" s="9">
        <v>36</v>
      </c>
      <c r="I246" s="9">
        <v>61</v>
      </c>
      <c r="J246" s="9">
        <v>97</v>
      </c>
      <c r="K246" s="10">
        <v>48</v>
      </c>
    </row>
    <row r="247" spans="1:11" x14ac:dyDescent="0.25">
      <c r="A247" s="8">
        <v>243</v>
      </c>
      <c r="B247" s="9">
        <v>36</v>
      </c>
      <c r="C247" s="9">
        <v>61</v>
      </c>
      <c r="D247" s="9">
        <v>97</v>
      </c>
      <c r="E247" s="10">
        <v>49</v>
      </c>
      <c r="G247" s="8">
        <v>243</v>
      </c>
      <c r="H247" s="9">
        <v>36</v>
      </c>
      <c r="I247" s="9">
        <v>61</v>
      </c>
      <c r="J247" s="9">
        <v>97</v>
      </c>
      <c r="K247" s="10">
        <v>49</v>
      </c>
    </row>
    <row r="248" spans="1:11" x14ac:dyDescent="0.25">
      <c r="A248" s="8">
        <v>244</v>
      </c>
      <c r="B248" s="9">
        <v>37</v>
      </c>
      <c r="C248" s="9">
        <v>61</v>
      </c>
      <c r="D248" s="9">
        <v>97</v>
      </c>
      <c r="E248" s="10">
        <v>49</v>
      </c>
      <c r="G248" s="8">
        <v>244</v>
      </c>
      <c r="H248" s="9">
        <v>37</v>
      </c>
      <c r="I248" s="9">
        <v>61</v>
      </c>
      <c r="J248" s="9">
        <v>97</v>
      </c>
      <c r="K248" s="10">
        <v>49</v>
      </c>
    </row>
    <row r="249" spans="1:11" x14ac:dyDescent="0.25">
      <c r="A249" s="8">
        <v>245</v>
      </c>
      <c r="B249" s="9">
        <v>37</v>
      </c>
      <c r="C249" s="9">
        <v>61</v>
      </c>
      <c r="D249" s="9">
        <v>98</v>
      </c>
      <c r="E249" s="10">
        <v>49</v>
      </c>
      <c r="G249" s="8">
        <v>245</v>
      </c>
      <c r="H249" s="9">
        <v>37</v>
      </c>
      <c r="I249" s="9">
        <v>61</v>
      </c>
      <c r="J249" s="9">
        <v>98</v>
      </c>
      <c r="K249" s="10">
        <v>49</v>
      </c>
    </row>
    <row r="250" spans="1:11" x14ac:dyDescent="0.25">
      <c r="A250" s="8">
        <v>246</v>
      </c>
      <c r="B250" s="9">
        <v>37</v>
      </c>
      <c r="C250" s="9">
        <v>62</v>
      </c>
      <c r="D250" s="9">
        <v>98</v>
      </c>
      <c r="E250" s="10">
        <v>49</v>
      </c>
      <c r="G250" s="8">
        <v>246</v>
      </c>
      <c r="H250" s="9">
        <v>37</v>
      </c>
      <c r="I250" s="9">
        <v>62</v>
      </c>
      <c r="J250" s="9">
        <v>98</v>
      </c>
      <c r="K250" s="10">
        <v>49</v>
      </c>
    </row>
    <row r="251" spans="1:11" x14ac:dyDescent="0.25">
      <c r="A251" s="8">
        <v>247</v>
      </c>
      <c r="B251" s="9">
        <v>37</v>
      </c>
      <c r="C251" s="9">
        <v>62</v>
      </c>
      <c r="D251" s="9">
        <v>99</v>
      </c>
      <c r="E251" s="10">
        <v>49</v>
      </c>
      <c r="G251" s="8">
        <v>247</v>
      </c>
      <c r="H251" s="9">
        <v>37</v>
      </c>
      <c r="I251" s="9">
        <v>62</v>
      </c>
      <c r="J251" s="9">
        <v>99</v>
      </c>
      <c r="K251" s="10">
        <v>49</v>
      </c>
    </row>
    <row r="252" spans="1:11" x14ac:dyDescent="0.25">
      <c r="A252" s="8">
        <v>248</v>
      </c>
      <c r="B252" s="9">
        <v>37</v>
      </c>
      <c r="C252" s="9">
        <v>62</v>
      </c>
      <c r="D252" s="9">
        <v>99</v>
      </c>
      <c r="E252" s="10">
        <v>50</v>
      </c>
      <c r="G252" s="8">
        <v>248</v>
      </c>
      <c r="H252" s="9">
        <v>37</v>
      </c>
      <c r="I252" s="9">
        <v>62</v>
      </c>
      <c r="J252" s="9">
        <v>99</v>
      </c>
      <c r="K252" s="10">
        <v>50</v>
      </c>
    </row>
    <row r="253" spans="1:11" x14ac:dyDescent="0.25">
      <c r="A253" s="8">
        <v>249</v>
      </c>
      <c r="B253" s="9">
        <v>37</v>
      </c>
      <c r="C253" s="9">
        <v>62</v>
      </c>
      <c r="D253" s="9">
        <v>100</v>
      </c>
      <c r="E253" s="10">
        <v>50</v>
      </c>
      <c r="G253" s="8">
        <v>249</v>
      </c>
      <c r="H253" s="9">
        <v>37</v>
      </c>
      <c r="I253" s="9">
        <v>62</v>
      </c>
      <c r="J253" s="9">
        <v>100</v>
      </c>
      <c r="K253" s="10">
        <v>50</v>
      </c>
    </row>
    <row r="254" spans="1:11" x14ac:dyDescent="0.25">
      <c r="A254" s="8">
        <v>250</v>
      </c>
      <c r="B254" s="9">
        <v>38</v>
      </c>
      <c r="C254" s="9">
        <v>62</v>
      </c>
      <c r="D254" s="9">
        <v>100</v>
      </c>
      <c r="E254" s="10">
        <v>50</v>
      </c>
      <c r="G254" s="8">
        <v>250</v>
      </c>
      <c r="H254" s="9">
        <v>38</v>
      </c>
      <c r="I254" s="9">
        <v>62</v>
      </c>
      <c r="J254" s="9">
        <v>100</v>
      </c>
      <c r="K254" s="10">
        <v>50</v>
      </c>
    </row>
    <row r="255" spans="1:11" x14ac:dyDescent="0.25">
      <c r="A255" s="8">
        <v>251</v>
      </c>
      <c r="B255" s="9">
        <v>38</v>
      </c>
      <c r="C255" s="9">
        <v>63</v>
      </c>
      <c r="D255" s="9">
        <v>100</v>
      </c>
      <c r="E255" s="10">
        <v>50</v>
      </c>
      <c r="G255" s="8">
        <v>251</v>
      </c>
      <c r="H255" s="9">
        <v>38</v>
      </c>
      <c r="I255" s="9">
        <v>63</v>
      </c>
      <c r="J255" s="9">
        <v>100</v>
      </c>
      <c r="K255" s="10">
        <v>50</v>
      </c>
    </row>
    <row r="256" spans="1:11" x14ac:dyDescent="0.25">
      <c r="A256" s="8">
        <v>252</v>
      </c>
      <c r="B256" s="9">
        <v>38</v>
      </c>
      <c r="C256" s="9">
        <v>63</v>
      </c>
      <c r="D256" s="9">
        <v>101</v>
      </c>
      <c r="E256" s="10">
        <v>50</v>
      </c>
      <c r="G256" s="8">
        <v>252</v>
      </c>
      <c r="H256" s="9">
        <v>38</v>
      </c>
      <c r="I256" s="9">
        <v>63</v>
      </c>
      <c r="J256" s="9">
        <v>101</v>
      </c>
      <c r="K256" s="10">
        <v>50</v>
      </c>
    </row>
    <row r="257" spans="1:11" x14ac:dyDescent="0.25">
      <c r="A257" s="8">
        <v>253</v>
      </c>
      <c r="B257" s="9">
        <v>38</v>
      </c>
      <c r="C257" s="9">
        <v>63</v>
      </c>
      <c r="D257" s="9">
        <v>101</v>
      </c>
      <c r="E257" s="10">
        <v>51</v>
      </c>
      <c r="G257" s="8">
        <v>253</v>
      </c>
      <c r="H257" s="9">
        <v>38</v>
      </c>
      <c r="I257" s="9">
        <v>63</v>
      </c>
      <c r="J257" s="9">
        <v>101</v>
      </c>
      <c r="K257" s="10">
        <v>51</v>
      </c>
    </row>
    <row r="258" spans="1:11" x14ac:dyDescent="0.25">
      <c r="A258" s="8">
        <v>254</v>
      </c>
      <c r="B258" s="9">
        <v>38</v>
      </c>
      <c r="C258" s="9">
        <v>64</v>
      </c>
      <c r="D258" s="9">
        <v>101</v>
      </c>
      <c r="E258" s="10">
        <v>51</v>
      </c>
      <c r="G258" s="8">
        <v>254</v>
      </c>
      <c r="H258" s="9">
        <v>38</v>
      </c>
      <c r="I258" s="9">
        <v>64</v>
      </c>
      <c r="J258" s="9">
        <v>101</v>
      </c>
      <c r="K258" s="10">
        <v>51</v>
      </c>
    </row>
    <row r="259" spans="1:11" x14ac:dyDescent="0.25">
      <c r="A259" s="8">
        <v>255</v>
      </c>
      <c r="B259" s="9">
        <v>38</v>
      </c>
      <c r="C259" s="9">
        <v>64</v>
      </c>
      <c r="D259" s="9">
        <v>102</v>
      </c>
      <c r="E259" s="10">
        <v>51</v>
      </c>
      <c r="G259" s="8">
        <v>255</v>
      </c>
      <c r="H259" s="9">
        <v>38</v>
      </c>
      <c r="I259" s="9">
        <v>64</v>
      </c>
      <c r="J259" s="9">
        <v>102</v>
      </c>
      <c r="K259" s="10">
        <v>51</v>
      </c>
    </row>
    <row r="260" spans="1:11" x14ac:dyDescent="0.25">
      <c r="A260" s="8">
        <v>256</v>
      </c>
      <c r="B260" s="9">
        <v>38</v>
      </c>
      <c r="C260" s="9">
        <v>64</v>
      </c>
      <c r="D260" s="9">
        <v>103</v>
      </c>
      <c r="E260" s="10">
        <v>51</v>
      </c>
      <c r="G260" s="8">
        <v>256</v>
      </c>
      <c r="H260" s="9">
        <v>38</v>
      </c>
      <c r="I260" s="9">
        <v>64</v>
      </c>
      <c r="J260" s="9">
        <v>103</v>
      </c>
      <c r="K260" s="10">
        <v>51</v>
      </c>
    </row>
    <row r="261" spans="1:11" x14ac:dyDescent="0.25">
      <c r="A261" s="8">
        <v>257</v>
      </c>
      <c r="B261" s="9">
        <v>39</v>
      </c>
      <c r="C261" s="9">
        <v>64</v>
      </c>
      <c r="D261" s="9">
        <v>103</v>
      </c>
      <c r="E261" s="10">
        <v>51</v>
      </c>
      <c r="G261" s="8">
        <v>257</v>
      </c>
      <c r="H261" s="9">
        <v>39</v>
      </c>
      <c r="I261" s="9">
        <v>64</v>
      </c>
      <c r="J261" s="9">
        <v>103</v>
      </c>
      <c r="K261" s="10">
        <v>51</v>
      </c>
    </row>
    <row r="262" spans="1:11" x14ac:dyDescent="0.25">
      <c r="A262" s="8">
        <v>258</v>
      </c>
      <c r="B262" s="9">
        <v>39</v>
      </c>
      <c r="C262" s="9">
        <v>65</v>
      </c>
      <c r="D262" s="9">
        <v>103</v>
      </c>
      <c r="E262" s="10">
        <v>51</v>
      </c>
      <c r="G262" s="8">
        <v>258</v>
      </c>
      <c r="H262" s="9">
        <v>39</v>
      </c>
      <c r="I262" s="9">
        <v>65</v>
      </c>
      <c r="J262" s="9">
        <v>103</v>
      </c>
      <c r="K262" s="10">
        <v>51</v>
      </c>
    </row>
    <row r="263" spans="1:11" x14ac:dyDescent="0.25">
      <c r="A263" s="8">
        <v>259</v>
      </c>
      <c r="B263" s="9">
        <v>39</v>
      </c>
      <c r="C263" s="9">
        <v>65</v>
      </c>
      <c r="D263" s="9">
        <v>104</v>
      </c>
      <c r="E263" s="10">
        <v>51</v>
      </c>
      <c r="G263" s="8">
        <v>259</v>
      </c>
      <c r="H263" s="9">
        <v>39</v>
      </c>
      <c r="I263" s="9">
        <v>65</v>
      </c>
      <c r="J263" s="9">
        <v>104</v>
      </c>
      <c r="K263" s="10">
        <v>51</v>
      </c>
    </row>
    <row r="264" spans="1:11" x14ac:dyDescent="0.25">
      <c r="A264" s="8">
        <v>260</v>
      </c>
      <c r="B264" s="9">
        <v>39</v>
      </c>
      <c r="C264" s="9">
        <v>65</v>
      </c>
      <c r="D264" s="9">
        <v>104</v>
      </c>
      <c r="E264" s="10">
        <v>52</v>
      </c>
      <c r="G264" s="8">
        <v>260</v>
      </c>
      <c r="H264" s="9">
        <v>39</v>
      </c>
      <c r="I264" s="9">
        <v>65</v>
      </c>
      <c r="J264" s="9">
        <v>104</v>
      </c>
      <c r="K264" s="10">
        <v>52</v>
      </c>
    </row>
    <row r="265" spans="1:11" x14ac:dyDescent="0.25">
      <c r="A265" s="8">
        <v>261</v>
      </c>
      <c r="B265" s="9">
        <v>39</v>
      </c>
      <c r="C265" s="9">
        <v>65</v>
      </c>
      <c r="D265" s="9">
        <v>105</v>
      </c>
      <c r="E265" s="10">
        <v>52</v>
      </c>
      <c r="G265" s="8">
        <v>261</v>
      </c>
      <c r="H265" s="9">
        <v>39</v>
      </c>
      <c r="I265" s="9">
        <v>65</v>
      </c>
      <c r="J265" s="9">
        <v>105</v>
      </c>
      <c r="K265" s="10">
        <v>52</v>
      </c>
    </row>
    <row r="266" spans="1:11" x14ac:dyDescent="0.25">
      <c r="A266" s="8">
        <v>262</v>
      </c>
      <c r="B266" s="9">
        <v>39</v>
      </c>
      <c r="C266" s="9">
        <v>66</v>
      </c>
      <c r="D266" s="9">
        <v>105</v>
      </c>
      <c r="E266" s="10">
        <v>52</v>
      </c>
      <c r="G266" s="8">
        <v>262</v>
      </c>
      <c r="H266" s="9">
        <v>39</v>
      </c>
      <c r="I266" s="9">
        <v>66</v>
      </c>
      <c r="J266" s="9">
        <v>105</v>
      </c>
      <c r="K266" s="10">
        <v>52</v>
      </c>
    </row>
    <row r="267" spans="1:11" x14ac:dyDescent="0.25">
      <c r="A267" s="8">
        <v>263</v>
      </c>
      <c r="B267" s="9">
        <v>39</v>
      </c>
      <c r="C267" s="9">
        <v>66</v>
      </c>
      <c r="D267" s="9">
        <v>105</v>
      </c>
      <c r="E267" s="10">
        <v>53</v>
      </c>
      <c r="G267" s="8">
        <v>263</v>
      </c>
      <c r="H267" s="9">
        <v>39</v>
      </c>
      <c r="I267" s="9">
        <v>66</v>
      </c>
      <c r="J267" s="9">
        <v>105</v>
      </c>
      <c r="K267" s="10">
        <v>53</v>
      </c>
    </row>
    <row r="268" spans="1:11" x14ac:dyDescent="0.25">
      <c r="A268" s="8">
        <v>264</v>
      </c>
      <c r="B268" s="9">
        <v>40</v>
      </c>
      <c r="C268" s="9">
        <v>66</v>
      </c>
      <c r="D268" s="9">
        <v>105</v>
      </c>
      <c r="E268" s="10">
        <v>53</v>
      </c>
      <c r="G268" s="8">
        <v>264</v>
      </c>
      <c r="H268" s="9">
        <v>40</v>
      </c>
      <c r="I268" s="9">
        <v>66</v>
      </c>
      <c r="J268" s="9">
        <v>105</v>
      </c>
      <c r="K268" s="10">
        <v>53</v>
      </c>
    </row>
    <row r="269" spans="1:11" x14ac:dyDescent="0.25">
      <c r="A269" s="11">
        <v>265</v>
      </c>
      <c r="B269" s="12">
        <v>40</v>
      </c>
      <c r="C269" s="12">
        <v>66</v>
      </c>
      <c r="D269" s="12">
        <v>106</v>
      </c>
      <c r="E269" s="13">
        <v>53</v>
      </c>
      <c r="G269" s="11">
        <v>265</v>
      </c>
      <c r="H269" s="12">
        <v>40</v>
      </c>
      <c r="I269" s="12">
        <v>66</v>
      </c>
      <c r="J269" s="12">
        <v>106</v>
      </c>
      <c r="K269" s="13">
        <v>53</v>
      </c>
    </row>
  </sheetData>
  <phoneticPr fontId="12" type="noConversion"/>
  <pageMargins left="0.7" right="0.7" top="0.75" bottom="0.75" header="0.3" footer="0.3"/>
  <tableParts count="5">
    <tablePart r:id="rId1"/>
    <tablePart r:id="rId2"/>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23F218059A5C44585C593EE4162C167" ma:contentTypeVersion="8" ma:contentTypeDescription="Create a new document." ma:contentTypeScope="" ma:versionID="7d476fef681d6e316f8f189285e5475b">
  <xsd:schema xmlns:xsd="http://www.w3.org/2001/XMLSchema" xmlns:xs="http://www.w3.org/2001/XMLSchema" xmlns:p="http://schemas.microsoft.com/office/2006/metadata/properties" xmlns:ns2="c8cd16cf-b28a-4d08-8e2d-9d89ab9eec4e" xmlns:ns3="54c9f48a-5cd9-41d9-b6c2-36466c55415e" targetNamespace="http://schemas.microsoft.com/office/2006/metadata/properties" ma:root="true" ma:fieldsID="c077a9c5923b9a090696ee1bbce5a944" ns2:_="" ns3:_="">
    <xsd:import namespace="c8cd16cf-b28a-4d08-8e2d-9d89ab9eec4e"/>
    <xsd:import namespace="54c9f48a-5cd9-41d9-b6c2-36466c55415e"/>
    <xsd:element name="properties">
      <xsd:complexType>
        <xsd:sequence>
          <xsd:element name="documentManagement">
            <xsd:complexType>
              <xsd:all>
                <xsd:element ref="ns2:_dlc_DocId" minOccurs="0"/>
                <xsd:element ref="ns2:_dlc_DocIdUrl" minOccurs="0"/>
                <xsd:element ref="ns2:_dlc_DocIdPersistId"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cd16cf-b28a-4d08-8e2d-9d89ab9eec4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4c9f48a-5cd9-41d9-b6c2-36466c55415e"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PersistId xmlns="c8cd16cf-b28a-4d08-8e2d-9d89ab9eec4e" xsi:nil="true"/>
  </documentManagement>
</p:properties>
</file>

<file path=customXml/item4.xml><?xml version="1.0" encoding="utf-8"?>
<?mso-contentType ?>
<spe:Receivers xmlns:spe="http://schemas.microsoft.com/sharepoint/events"/>
</file>

<file path=customXml/itemProps1.xml><?xml version="1.0" encoding="utf-8"?>
<ds:datastoreItem xmlns:ds="http://schemas.openxmlformats.org/officeDocument/2006/customXml" ds:itemID="{7FABBCC0-ACB8-4D78-A2D7-9D1C7C6D8B6D}">
  <ds:schemaRefs>
    <ds:schemaRef ds:uri="http://schemas.microsoft.com/sharepoint/v3/contenttype/forms"/>
  </ds:schemaRefs>
</ds:datastoreItem>
</file>

<file path=customXml/itemProps2.xml><?xml version="1.0" encoding="utf-8"?>
<ds:datastoreItem xmlns:ds="http://schemas.openxmlformats.org/officeDocument/2006/customXml" ds:itemID="{FF45A50D-4561-45A7-AC16-1F250377F6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cd16cf-b28a-4d08-8e2d-9d89ab9eec4e"/>
    <ds:schemaRef ds:uri="54c9f48a-5cd9-41d9-b6c2-36466c5541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3511531-B769-4929-806F-2A05A4882D77}">
  <ds:schemaRefs>
    <ds:schemaRef ds:uri="http://schemas.microsoft.com/office/2006/documentManagement/types"/>
    <ds:schemaRef ds:uri="54c9f48a-5cd9-41d9-b6c2-36466c55415e"/>
    <ds:schemaRef ds:uri="http://schemas.microsoft.com/office/infopath/2007/PartnerControls"/>
    <ds:schemaRef ds:uri="http://schemas.microsoft.com/office/2006/metadata/properties"/>
    <ds:schemaRef ds:uri="http://purl.org/dc/dcmitype/"/>
    <ds:schemaRef ds:uri="http://schemas.openxmlformats.org/package/2006/metadata/core-properties"/>
    <ds:schemaRef ds:uri="c8cd16cf-b28a-4d08-8e2d-9d89ab9eec4e"/>
    <ds:schemaRef ds:uri="http://www.w3.org/XML/1998/namespace"/>
    <ds:schemaRef ds:uri="http://purl.org/dc/terms/"/>
    <ds:schemaRef ds:uri="http://purl.org/dc/elements/1.1/"/>
    <ds:schemaRef ds:uri="42f540e7-a30e-4d06-957e-2e2dd0b5d718"/>
    <ds:schemaRef ds:uri="a207ff4d-ddad-4332-a7b2-1e63a73d033f"/>
  </ds:schemaRefs>
</ds:datastoreItem>
</file>

<file path=customXml/itemProps4.xml><?xml version="1.0" encoding="utf-8"?>
<ds:datastoreItem xmlns:ds="http://schemas.openxmlformats.org/officeDocument/2006/customXml" ds:itemID="{94DBB937-2633-4C6C-A1C0-CF52EA4D9F2B}">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Instructions</vt:lpstr>
      <vt:lpstr>Travel Claim Worksheet</vt:lpstr>
      <vt:lpstr>Versions</vt:lpstr>
      <vt:lpstr>Data</vt:lpstr>
      <vt:lpstr>HighestRate24</vt:lpstr>
      <vt:lpstr>HighestRate25</vt:lpstr>
      <vt:lpstr>MileageRate</vt:lpstr>
      <vt:lpstr>MileageRateNew</vt:lpstr>
      <vt:lpstr>newrate</vt:lpstr>
      <vt:lpstr>'Travel Claim Worksheet'!Print_Area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Travel Claim Worksheet - Campus 11-06-23</dc:title>
  <dc:creator>Webb, Caryn</dc:creator>
  <cp:lastModifiedBy>Sarah Gonzales</cp:lastModifiedBy>
  <cp:lastPrinted>2024-10-03T02:01:27Z</cp:lastPrinted>
  <dcterms:created xsi:type="dcterms:W3CDTF">2023-10-16T18:04:08Z</dcterms:created>
  <dcterms:modified xsi:type="dcterms:W3CDTF">2025-10-31T03:36:01Z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0x010100723F218059A5C44585C593EE4162C167</vt:lpwstr>
  </property>
  <property fmtid="{D5CDD505-2E9C-101B-9397-08002B2CF9AE}" pid="3" name="MediaServiceImageTags">
    <vt:lpwstr/>
  </property>
  <property fmtid="{D5CDD505-2E9C-101B-9397-08002B2CF9AE}" pid="4" name="Order">
    <vt:r8>29639900</vt:r8>
  </property>
  <property fmtid="{D5CDD505-2E9C-101B-9397-08002B2CF9AE}" pid="5" name="_ExtendedDescription">
    <vt:lpwstr/>
  </property>
</Properties>
</file>